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Données Techniques\Mécanique\Couples de serrage\"/>
    </mc:Choice>
  </mc:AlternateContent>
  <xr:revisionPtr revIDLastSave="0" documentId="13_ncr:1_{2DA3D98D-3AF9-44E9-83D1-ACFEB1DA189B}" xr6:coauthVersionLast="47" xr6:coauthVersionMax="47" xr10:uidLastSave="{00000000-0000-0000-0000-000000000000}"/>
  <bookViews>
    <workbookView xWindow="38280" yWindow="-120" windowWidth="38640" windowHeight="21240" xr2:uid="{45FD4D84-3520-434B-A6ED-4996F6B1970F}"/>
  </bookViews>
  <sheets>
    <sheet name="Couples de serrage exact" sheetId="8" r:id="rId1"/>
    <sheet name="Couples de serrage approché"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8" l="1"/>
  <c r="G34" i="8"/>
  <c r="F34" i="8"/>
  <c r="I34" i="8" s="1"/>
  <c r="H33" i="8"/>
  <c r="M33" i="8" s="1"/>
  <c r="G33" i="8"/>
  <c r="F33" i="8"/>
  <c r="I33" i="8" s="1"/>
  <c r="H32" i="8"/>
  <c r="G32" i="8"/>
  <c r="F32" i="8"/>
  <c r="D32" i="8" s="1"/>
  <c r="H31" i="8"/>
  <c r="M31" i="8" s="1"/>
  <c r="G31" i="8"/>
  <c r="F31" i="8"/>
  <c r="D31" i="8" s="1"/>
  <c r="H30" i="8"/>
  <c r="M30" i="8" s="1"/>
  <c r="G30" i="8"/>
  <c r="F30" i="8"/>
  <c r="D30" i="8" s="1"/>
  <c r="H29" i="8"/>
  <c r="G29" i="8"/>
  <c r="F29" i="8"/>
  <c r="I29" i="8" s="1"/>
  <c r="H28" i="8"/>
  <c r="M28" i="8" s="1"/>
  <c r="G28" i="8"/>
  <c r="F28" i="8"/>
  <c r="I28" i="8" s="1"/>
  <c r="H27" i="8"/>
  <c r="M27" i="8" s="1"/>
  <c r="G27" i="8"/>
  <c r="F27" i="8"/>
  <c r="D27" i="8" s="1"/>
  <c r="H26" i="8"/>
  <c r="M26" i="8" s="1"/>
  <c r="G26" i="8"/>
  <c r="F26" i="8"/>
  <c r="D26" i="8" s="1"/>
  <c r="H24" i="8"/>
  <c r="M24" i="8" s="1"/>
  <c r="G24" i="8"/>
  <c r="F24" i="8"/>
  <c r="I24" i="8" s="1"/>
  <c r="H22" i="8"/>
  <c r="M22" i="8" s="1"/>
  <c r="G22" i="8"/>
  <c r="F22" i="8"/>
  <c r="I22" i="8" s="1"/>
  <c r="H18" i="8"/>
  <c r="M18" i="8" s="1"/>
  <c r="G18" i="8"/>
  <c r="F18" i="8"/>
  <c r="I18" i="8" s="1"/>
  <c r="H19" i="8"/>
  <c r="M19" i="8" s="1"/>
  <c r="G19" i="8"/>
  <c r="F19" i="8"/>
  <c r="D19" i="8" s="1"/>
  <c r="H15" i="8"/>
  <c r="M15" i="8" s="1"/>
  <c r="G15" i="8"/>
  <c r="F15" i="8"/>
  <c r="I15" i="8" s="1"/>
  <c r="H16" i="8"/>
  <c r="M16" i="8" s="1"/>
  <c r="G16" i="8"/>
  <c r="F16" i="8"/>
  <c r="I16" i="8" s="1"/>
  <c r="H13" i="8"/>
  <c r="M13" i="8" s="1"/>
  <c r="G13" i="8"/>
  <c r="F13" i="8"/>
  <c r="I13" i="8" s="1"/>
  <c r="H11" i="8"/>
  <c r="M11" i="8" s="1"/>
  <c r="G11" i="8"/>
  <c r="F11" i="8"/>
  <c r="I11" i="8" s="1"/>
  <c r="H9" i="8"/>
  <c r="G9" i="8"/>
  <c r="F9" i="8"/>
  <c r="I9" i="8" s="1"/>
  <c r="H7" i="8"/>
  <c r="M7" i="8" s="1"/>
  <c r="G7" i="8"/>
  <c r="F7" i="8"/>
  <c r="D7" i="8" s="1"/>
  <c r="Q15" i="8"/>
  <c r="K35" i="8" s="1"/>
  <c r="Q13" i="8"/>
  <c r="H10" i="8"/>
  <c r="M10" i="8" s="1"/>
  <c r="H12" i="8"/>
  <c r="M12" i="8" s="1"/>
  <c r="H14" i="8"/>
  <c r="M14" i="8" s="1"/>
  <c r="H17" i="8"/>
  <c r="M17" i="8" s="1"/>
  <c r="H20" i="8"/>
  <c r="M20" i="8" s="1"/>
  <c r="H21" i="8"/>
  <c r="M21" i="8" s="1"/>
  <c r="H23" i="8"/>
  <c r="M23" i="8" s="1"/>
  <c r="H25" i="8"/>
  <c r="M25" i="8" s="1"/>
  <c r="H35" i="8"/>
  <c r="M35" i="8" s="1"/>
  <c r="H36" i="8"/>
  <c r="M36" i="8" s="1"/>
  <c r="H37" i="8"/>
  <c r="M37" i="8" s="1"/>
  <c r="H38" i="8"/>
  <c r="M38" i="8" s="1"/>
  <c r="H39" i="8"/>
  <c r="M39" i="8" s="1"/>
  <c r="H40" i="8"/>
  <c r="M40" i="8" s="1"/>
  <c r="H41" i="8"/>
  <c r="M41" i="8" s="1"/>
  <c r="H42" i="8"/>
  <c r="M42" i="8" s="1"/>
  <c r="H43" i="8"/>
  <c r="M43" i="8" s="1"/>
  <c r="G10" i="8"/>
  <c r="G12" i="8"/>
  <c r="G14" i="8"/>
  <c r="G17" i="8"/>
  <c r="G20" i="8"/>
  <c r="G21" i="8"/>
  <c r="G23" i="8"/>
  <c r="G25" i="8"/>
  <c r="G35" i="8"/>
  <c r="G36" i="8"/>
  <c r="G37" i="8"/>
  <c r="G38" i="8"/>
  <c r="G39" i="8"/>
  <c r="G40" i="8"/>
  <c r="G41" i="8"/>
  <c r="G42" i="8"/>
  <c r="G43" i="8"/>
  <c r="F10" i="8"/>
  <c r="I10" i="8" s="1"/>
  <c r="F12" i="8"/>
  <c r="I12" i="8" s="1"/>
  <c r="F14" i="8"/>
  <c r="I14" i="8" s="1"/>
  <c r="F17" i="8"/>
  <c r="D17" i="8" s="1"/>
  <c r="F20" i="8"/>
  <c r="I20" i="8" s="1"/>
  <c r="F21" i="8"/>
  <c r="I21" i="8" s="1"/>
  <c r="F23" i="8"/>
  <c r="I23" i="8" s="1"/>
  <c r="F25" i="8"/>
  <c r="D25" i="8" s="1"/>
  <c r="F35" i="8"/>
  <c r="I35" i="8" s="1"/>
  <c r="F36" i="8"/>
  <c r="I36" i="8" s="1"/>
  <c r="F37" i="8"/>
  <c r="I37" i="8" s="1"/>
  <c r="F38" i="8"/>
  <c r="I38" i="8" s="1"/>
  <c r="F39" i="8"/>
  <c r="I39" i="8" s="1"/>
  <c r="F40" i="8"/>
  <c r="I40" i="8" s="1"/>
  <c r="F41" i="8"/>
  <c r="I41" i="8" s="1"/>
  <c r="F42" i="8"/>
  <c r="I42" i="8" s="1"/>
  <c r="F43" i="8"/>
  <c r="I43" i="8" s="1"/>
  <c r="H8" i="8"/>
  <c r="M8" i="8" s="1"/>
  <c r="Q10" i="8"/>
  <c r="G8" i="8"/>
  <c r="F8" i="8"/>
  <c r="I8" i="8" s="1"/>
  <c r="D39" i="7"/>
  <c r="O39" i="7" s="1"/>
  <c r="D37" i="7"/>
  <c r="L37" i="7" s="1"/>
  <c r="D35" i="7"/>
  <c r="O35" i="7" s="1"/>
  <c r="D50" i="7"/>
  <c r="O50" i="7" s="1"/>
  <c r="D49" i="7"/>
  <c r="O49" i="7" s="1"/>
  <c r="D48" i="7"/>
  <c r="O48" i="7" s="1"/>
  <c r="D47" i="7"/>
  <c r="O47" i="7" s="1"/>
  <c r="D46" i="7"/>
  <c r="O46" i="7" s="1"/>
  <c r="D45" i="7"/>
  <c r="O45" i="7" s="1"/>
  <c r="D44" i="7"/>
  <c r="O44" i="7" s="1"/>
  <c r="D43" i="7"/>
  <c r="O43" i="7" s="1"/>
  <c r="D42" i="7"/>
  <c r="O42" i="7" s="1"/>
  <c r="D41" i="7"/>
  <c r="O41" i="7" s="1"/>
  <c r="D40" i="7"/>
  <c r="O40" i="7" s="1"/>
  <c r="D38" i="7"/>
  <c r="O38" i="7" s="1"/>
  <c r="D36" i="7"/>
  <c r="O36" i="7" s="1"/>
  <c r="D34" i="7"/>
  <c r="O34" i="7" s="1"/>
  <c r="D33" i="7"/>
  <c r="O33" i="7" s="1"/>
  <c r="D32" i="7"/>
  <c r="O32" i="7" s="1"/>
  <c r="D31" i="7"/>
  <c r="O31" i="7" s="1"/>
  <c r="D23" i="7"/>
  <c r="L23" i="7" s="1"/>
  <c r="D22" i="7"/>
  <c r="N22" i="7" s="1"/>
  <c r="D21" i="7"/>
  <c r="J21" i="7" s="1"/>
  <c r="D20" i="7"/>
  <c r="H20" i="7" s="1"/>
  <c r="D19" i="7"/>
  <c r="J19" i="7" s="1"/>
  <c r="D18" i="7"/>
  <c r="E18" i="7" s="1"/>
  <c r="D17" i="7"/>
  <c r="G17" i="7" s="1"/>
  <c r="D16" i="7"/>
  <c r="E16" i="7" s="1"/>
  <c r="D15" i="7"/>
  <c r="G15" i="7" s="1"/>
  <c r="D14" i="7"/>
  <c r="G14" i="7" s="1"/>
  <c r="D13" i="7"/>
  <c r="L13" i="7" s="1"/>
  <c r="D12" i="7"/>
  <c r="E12" i="7" s="1"/>
  <c r="D11" i="7"/>
  <c r="L11" i="7" s="1"/>
  <c r="D10" i="7"/>
  <c r="N10" i="7" s="1"/>
  <c r="D9" i="7"/>
  <c r="J9" i="7" s="1"/>
  <c r="D8" i="7"/>
  <c r="H8" i="7" s="1"/>
  <c r="D7" i="7"/>
  <c r="K7" i="7" s="1"/>
  <c r="J32" i="8" l="1"/>
  <c r="J28" i="8"/>
  <c r="M32" i="8"/>
  <c r="J29" i="8"/>
  <c r="J26" i="8"/>
  <c r="J34" i="8"/>
  <c r="D33" i="8"/>
  <c r="J33" i="8"/>
  <c r="I26" i="8"/>
  <c r="M34" i="8"/>
  <c r="I32" i="8"/>
  <c r="M29" i="8"/>
  <c r="D29" i="8"/>
  <c r="I27" i="8"/>
  <c r="K26" i="8"/>
  <c r="I31" i="8"/>
  <c r="K32" i="8"/>
  <c r="D28" i="8"/>
  <c r="J31" i="8"/>
  <c r="D34" i="8"/>
  <c r="I30" i="8"/>
  <c r="K31" i="8"/>
  <c r="J30" i="8"/>
  <c r="K30" i="8"/>
  <c r="K29" i="8"/>
  <c r="L29" i="8" s="1"/>
  <c r="K28" i="8"/>
  <c r="L28" i="8" s="1"/>
  <c r="E28" i="8" s="1"/>
  <c r="K34" i="8"/>
  <c r="J27" i="8"/>
  <c r="K27" i="8"/>
  <c r="K33" i="8"/>
  <c r="D24" i="8"/>
  <c r="J24" i="8"/>
  <c r="D11" i="8"/>
  <c r="K24" i="8"/>
  <c r="D22" i="8"/>
  <c r="J22" i="8"/>
  <c r="K22" i="8"/>
  <c r="D18" i="8"/>
  <c r="J18" i="8"/>
  <c r="I19" i="8"/>
  <c r="K18" i="8"/>
  <c r="J19" i="8"/>
  <c r="K19" i="8"/>
  <c r="K16" i="8"/>
  <c r="D15" i="8"/>
  <c r="J15" i="8"/>
  <c r="K15" i="8"/>
  <c r="D16" i="8"/>
  <c r="J16" i="8"/>
  <c r="D13" i="8"/>
  <c r="J13" i="8"/>
  <c r="J9" i="8"/>
  <c r="K13" i="8"/>
  <c r="K9" i="8"/>
  <c r="D38" i="8"/>
  <c r="D36" i="8"/>
  <c r="J11" i="8"/>
  <c r="D9" i="8"/>
  <c r="K11" i="8"/>
  <c r="M9" i="8"/>
  <c r="K7" i="8"/>
  <c r="D41" i="8"/>
  <c r="D40" i="8"/>
  <c r="D39" i="8"/>
  <c r="D12" i="8"/>
  <c r="I7" i="8"/>
  <c r="J7" i="8"/>
  <c r="D8" i="8"/>
  <c r="D43" i="8"/>
  <c r="D20" i="8"/>
  <c r="D42" i="8"/>
  <c r="D14" i="8"/>
  <c r="D10" i="8"/>
  <c r="D37" i="8"/>
  <c r="D35" i="8"/>
  <c r="D23" i="8"/>
  <c r="D21" i="8"/>
  <c r="K39" i="8"/>
  <c r="K38" i="8"/>
  <c r="K25" i="8"/>
  <c r="I17" i="8"/>
  <c r="K10" i="8"/>
  <c r="K23" i="8"/>
  <c r="K43" i="8"/>
  <c r="K20" i="8"/>
  <c r="K8" i="8"/>
  <c r="K42" i="8"/>
  <c r="K17" i="8"/>
  <c r="K21" i="8"/>
  <c r="K41" i="8"/>
  <c r="K14" i="8"/>
  <c r="K40" i="8"/>
  <c r="K12" i="8"/>
  <c r="K37" i="8"/>
  <c r="K36" i="8"/>
  <c r="I25" i="8"/>
  <c r="J10" i="8"/>
  <c r="J39" i="8"/>
  <c r="J37" i="8"/>
  <c r="J38" i="8"/>
  <c r="J36" i="8"/>
  <c r="J25" i="8"/>
  <c r="J23" i="8"/>
  <c r="J8" i="8"/>
  <c r="J20" i="8"/>
  <c r="J21" i="8"/>
  <c r="J43" i="8"/>
  <c r="J17" i="8"/>
  <c r="J42" i="8"/>
  <c r="J14" i="8"/>
  <c r="J41" i="8"/>
  <c r="J12" i="8"/>
  <c r="J35" i="8"/>
  <c r="L35" i="8" s="1"/>
  <c r="E35" i="8" s="1"/>
  <c r="J40" i="8"/>
  <c r="E39" i="7"/>
  <c r="F39" i="7"/>
  <c r="G39" i="7"/>
  <c r="H39" i="7"/>
  <c r="I39" i="7"/>
  <c r="J39" i="7"/>
  <c r="K39" i="7"/>
  <c r="L39" i="7"/>
  <c r="M39" i="7"/>
  <c r="N39" i="7"/>
  <c r="M37" i="7"/>
  <c r="F37" i="7"/>
  <c r="N37" i="7"/>
  <c r="O37" i="7"/>
  <c r="E37" i="7"/>
  <c r="G37" i="7"/>
  <c r="H37" i="7"/>
  <c r="J37" i="7"/>
  <c r="I37" i="7"/>
  <c r="K37" i="7"/>
  <c r="E35" i="7"/>
  <c r="F35" i="7"/>
  <c r="G35" i="7"/>
  <c r="H35" i="7"/>
  <c r="I35" i="7"/>
  <c r="J35" i="7"/>
  <c r="K35" i="7"/>
  <c r="L35" i="7"/>
  <c r="M35" i="7"/>
  <c r="N35" i="7"/>
  <c r="G19" i="7"/>
  <c r="I20" i="7"/>
  <c r="G22" i="7"/>
  <c r="I8" i="7"/>
  <c r="I14" i="7"/>
  <c r="I9" i="7"/>
  <c r="G42" i="7"/>
  <c r="G12" i="7"/>
  <c r="G32" i="7"/>
  <c r="H7" i="7"/>
  <c r="H23" i="7"/>
  <c r="H21" i="7"/>
  <c r="G48" i="7"/>
  <c r="H14" i="7"/>
  <c r="I21" i="7"/>
  <c r="F49" i="7"/>
  <c r="F34" i="7"/>
  <c r="F44" i="7"/>
  <c r="G11" i="7"/>
  <c r="F36" i="7"/>
  <c r="G10" i="7"/>
  <c r="I13" i="7"/>
  <c r="F45" i="7"/>
  <c r="H17" i="7"/>
  <c r="G46" i="7"/>
  <c r="G40" i="7"/>
  <c r="H16" i="7"/>
  <c r="F32" i="7"/>
  <c r="F48" i="7"/>
  <c r="F40" i="7"/>
  <c r="G7" i="7"/>
  <c r="G23" i="7"/>
  <c r="H12" i="7"/>
  <c r="I19" i="7"/>
  <c r="G44" i="7"/>
  <c r="G50" i="7"/>
  <c r="H15" i="7"/>
  <c r="F38" i="7"/>
  <c r="F43" i="7"/>
  <c r="F47" i="7"/>
  <c r="G21" i="7"/>
  <c r="G9" i="7"/>
  <c r="I18" i="7"/>
  <c r="F31" i="7"/>
  <c r="G38" i="7"/>
  <c r="G43" i="7"/>
  <c r="G47" i="7"/>
  <c r="G20" i="7"/>
  <c r="G8" i="7"/>
  <c r="H13" i="7"/>
  <c r="I17" i="7"/>
  <c r="I16" i="7"/>
  <c r="G18" i="7"/>
  <c r="H11" i="7"/>
  <c r="I15" i="7"/>
  <c r="H22" i="7"/>
  <c r="H10" i="7"/>
  <c r="G16" i="7"/>
  <c r="H9" i="7"/>
  <c r="F33" i="7"/>
  <c r="F41" i="7"/>
  <c r="I12" i="7"/>
  <c r="G41" i="7"/>
  <c r="G45" i="7"/>
  <c r="G49" i="7"/>
  <c r="H19" i="7"/>
  <c r="I23" i="7"/>
  <c r="I11" i="7"/>
  <c r="G13" i="7"/>
  <c r="H18" i="7"/>
  <c r="I22" i="7"/>
  <c r="I10" i="7"/>
  <c r="F42" i="7"/>
  <c r="F46" i="7"/>
  <c r="F50" i="7"/>
  <c r="E31" i="7"/>
  <c r="E32" i="7"/>
  <c r="E33" i="7"/>
  <c r="E34" i="7"/>
  <c r="E36" i="7"/>
  <c r="E38" i="7"/>
  <c r="E40" i="7"/>
  <c r="E41" i="7"/>
  <c r="E42" i="7"/>
  <c r="E43" i="7"/>
  <c r="E44" i="7"/>
  <c r="E45" i="7"/>
  <c r="E46" i="7"/>
  <c r="E47" i="7"/>
  <c r="E48" i="7"/>
  <c r="E49" i="7"/>
  <c r="E50" i="7"/>
  <c r="G31" i="7"/>
  <c r="G36" i="7"/>
  <c r="H31" i="7"/>
  <c r="H34" i="7"/>
  <c r="H40" i="7"/>
  <c r="H41" i="7"/>
  <c r="H44" i="7"/>
  <c r="H47" i="7"/>
  <c r="H50" i="7"/>
  <c r="I31" i="7"/>
  <c r="I32" i="7"/>
  <c r="I33" i="7"/>
  <c r="I34" i="7"/>
  <c r="I36" i="7"/>
  <c r="I38" i="7"/>
  <c r="I40" i="7"/>
  <c r="I41" i="7"/>
  <c r="I42" i="7"/>
  <c r="I43" i="7"/>
  <c r="I44" i="7"/>
  <c r="I45" i="7"/>
  <c r="I46" i="7"/>
  <c r="I47" i="7"/>
  <c r="I48" i="7"/>
  <c r="I49" i="7"/>
  <c r="I50" i="7"/>
  <c r="G33" i="7"/>
  <c r="H32" i="7"/>
  <c r="H36" i="7"/>
  <c r="H43" i="7"/>
  <c r="H46" i="7"/>
  <c r="H49" i="7"/>
  <c r="J31" i="7"/>
  <c r="J32" i="7"/>
  <c r="J33" i="7"/>
  <c r="J34" i="7"/>
  <c r="J36" i="7"/>
  <c r="J38" i="7"/>
  <c r="J40" i="7"/>
  <c r="J41" i="7"/>
  <c r="J42" i="7"/>
  <c r="J43" i="7"/>
  <c r="J44" i="7"/>
  <c r="J45" i="7"/>
  <c r="J46" i="7"/>
  <c r="J47" i="7"/>
  <c r="J48" i="7"/>
  <c r="J49" i="7"/>
  <c r="J50" i="7"/>
  <c r="G34" i="7"/>
  <c r="H33" i="7"/>
  <c r="H38" i="7"/>
  <c r="H42" i="7"/>
  <c r="H45" i="7"/>
  <c r="H48" i="7"/>
  <c r="K31" i="7"/>
  <c r="K32" i="7"/>
  <c r="K33" i="7"/>
  <c r="K34" i="7"/>
  <c r="K36" i="7"/>
  <c r="K38" i="7"/>
  <c r="K40" i="7"/>
  <c r="K41" i="7"/>
  <c r="K42" i="7"/>
  <c r="K43" i="7"/>
  <c r="K44" i="7"/>
  <c r="K45" i="7"/>
  <c r="K46" i="7"/>
  <c r="K47" i="7"/>
  <c r="K48" i="7"/>
  <c r="K49" i="7"/>
  <c r="K50" i="7"/>
  <c r="L31" i="7"/>
  <c r="L33" i="7"/>
  <c r="L36" i="7"/>
  <c r="L40" i="7"/>
  <c r="L41" i="7"/>
  <c r="L43" i="7"/>
  <c r="L44" i="7"/>
  <c r="L32" i="7"/>
  <c r="L34" i="7"/>
  <c r="L38" i="7"/>
  <c r="L42" i="7"/>
  <c r="L45" i="7"/>
  <c r="L46" i="7"/>
  <c r="L47" i="7"/>
  <c r="L48" i="7"/>
  <c r="L49" i="7"/>
  <c r="L50" i="7"/>
  <c r="M31" i="7"/>
  <c r="M32" i="7"/>
  <c r="M33" i="7"/>
  <c r="M34" i="7"/>
  <c r="M36" i="7"/>
  <c r="M38" i="7"/>
  <c r="M40" i="7"/>
  <c r="M41" i="7"/>
  <c r="M42" i="7"/>
  <c r="M43" i="7"/>
  <c r="M44" i="7"/>
  <c r="M45" i="7"/>
  <c r="M46" i="7"/>
  <c r="M47" i="7"/>
  <c r="M48" i="7"/>
  <c r="M49" i="7"/>
  <c r="M50" i="7"/>
  <c r="N31" i="7"/>
  <c r="N32" i="7"/>
  <c r="N33" i="7"/>
  <c r="N34" i="7"/>
  <c r="N36" i="7"/>
  <c r="N38" i="7"/>
  <c r="N40" i="7"/>
  <c r="N41" i="7"/>
  <c r="N42" i="7"/>
  <c r="N43" i="7"/>
  <c r="N44" i="7"/>
  <c r="N45" i="7"/>
  <c r="N46" i="7"/>
  <c r="N47" i="7"/>
  <c r="N48" i="7"/>
  <c r="N49" i="7"/>
  <c r="N50" i="7"/>
  <c r="F16" i="7"/>
  <c r="L10" i="7"/>
  <c r="J22" i="7"/>
  <c r="J13" i="7"/>
  <c r="K15" i="7"/>
  <c r="K13" i="7"/>
  <c r="K9" i="7"/>
  <c r="M22" i="7"/>
  <c r="F15" i="7"/>
  <c r="O16" i="7"/>
  <c r="F13" i="7"/>
  <c r="M16" i="7"/>
  <c r="O15" i="7"/>
  <c r="M13" i="7"/>
  <c r="O8" i="7"/>
  <c r="J20" i="7"/>
  <c r="F8" i="7"/>
  <c r="J16" i="7"/>
  <c r="O23" i="7"/>
  <c r="J15" i="7"/>
  <c r="O22" i="7"/>
  <c r="N15" i="7"/>
  <c r="O14" i="7"/>
  <c r="J10" i="7"/>
  <c r="L22" i="7"/>
  <c r="O13" i="7"/>
  <c r="F22" i="7"/>
  <c r="K21" i="7"/>
  <c r="N20" i="7"/>
  <c r="N12" i="7"/>
  <c r="N18" i="7"/>
  <c r="J8" i="7"/>
  <c r="O20" i="7"/>
  <c r="F20" i="7"/>
  <c r="K20" i="7"/>
  <c r="M20" i="7"/>
  <c r="O10" i="7"/>
  <c r="F18" i="7"/>
  <c r="K18" i="7"/>
  <c r="M19" i="7"/>
  <c r="M10" i="7"/>
  <c r="N8" i="7"/>
  <c r="F10" i="7"/>
  <c r="J18" i="7"/>
  <c r="K8" i="7"/>
  <c r="L16" i="7"/>
  <c r="M8" i="7"/>
  <c r="K23" i="7"/>
  <c r="K11" i="7"/>
  <c r="O19" i="7"/>
  <c r="F17" i="7"/>
  <c r="I7" i="7"/>
  <c r="J17" i="7"/>
  <c r="K22" i="7"/>
  <c r="K10" i="7"/>
  <c r="N19" i="7"/>
  <c r="N16" i="7"/>
  <c r="N13" i="7"/>
  <c r="L19" i="7"/>
  <c r="F14" i="7"/>
  <c r="J14" i="7"/>
  <c r="K19" i="7"/>
  <c r="L7" i="7"/>
  <c r="O21" i="7"/>
  <c r="O18" i="7"/>
  <c r="O12" i="7"/>
  <c r="O9" i="7"/>
  <c r="M7" i="7"/>
  <c r="N9" i="7"/>
  <c r="F7" i="7"/>
  <c r="F12" i="7"/>
  <c r="J7" i="7"/>
  <c r="J12" i="7"/>
  <c r="K17" i="7"/>
  <c r="N7" i="7"/>
  <c r="M21" i="7"/>
  <c r="M18" i="7"/>
  <c r="M15" i="7"/>
  <c r="M12" i="7"/>
  <c r="M9" i="7"/>
  <c r="N21" i="7"/>
  <c r="F23" i="7"/>
  <c r="F11" i="7"/>
  <c r="J23" i="7"/>
  <c r="J11" i="7"/>
  <c r="K16" i="7"/>
  <c r="O7" i="7"/>
  <c r="L21" i="7"/>
  <c r="L18" i="7"/>
  <c r="L15" i="7"/>
  <c r="L12" i="7"/>
  <c r="L9" i="7"/>
  <c r="O17" i="7"/>
  <c r="O11" i="7"/>
  <c r="F21" i="7"/>
  <c r="F9" i="7"/>
  <c r="K14" i="7"/>
  <c r="N23" i="7"/>
  <c r="N17" i="7"/>
  <c r="N14" i="7"/>
  <c r="N11" i="7"/>
  <c r="M23" i="7"/>
  <c r="M17" i="7"/>
  <c r="M14" i="7"/>
  <c r="M11" i="7"/>
  <c r="F19" i="7"/>
  <c r="K12" i="7"/>
  <c r="L20" i="7"/>
  <c r="L17" i="7"/>
  <c r="L14" i="7"/>
  <c r="L8" i="7"/>
  <c r="E7" i="7"/>
  <c r="E19" i="7"/>
  <c r="E17" i="7"/>
  <c r="E15" i="7"/>
  <c r="E14" i="7"/>
  <c r="E13" i="7"/>
  <c r="E23" i="7"/>
  <c r="E11" i="7"/>
  <c r="E22" i="7"/>
  <c r="E21" i="7"/>
  <c r="E9" i="7"/>
  <c r="E20" i="7"/>
  <c r="E8" i="7"/>
  <c r="E10" i="7"/>
  <c r="E29" i="8" l="1"/>
  <c r="L24" i="8"/>
  <c r="E24" i="8" s="1"/>
  <c r="L34" i="8"/>
  <c r="E34" i="8" s="1"/>
  <c r="L26" i="8"/>
  <c r="E26" i="8" s="1"/>
  <c r="L33" i="8"/>
  <c r="E33" i="8" s="1"/>
  <c r="L32" i="8"/>
  <c r="E32" i="8" s="1"/>
  <c r="L27" i="8"/>
  <c r="E27" i="8" s="1"/>
  <c r="L31" i="8"/>
  <c r="E31" i="8" s="1"/>
  <c r="L30" i="8"/>
  <c r="E30" i="8" s="1"/>
  <c r="L22" i="8"/>
  <c r="E22" i="8" s="1"/>
  <c r="L18" i="8"/>
  <c r="E18" i="8" s="1"/>
  <c r="L19" i="8"/>
  <c r="E19" i="8" s="1"/>
  <c r="L16" i="8"/>
  <c r="E16" i="8" s="1"/>
  <c r="L15" i="8"/>
  <c r="E15" i="8" s="1"/>
  <c r="L9" i="8"/>
  <c r="E9" i="8" s="1"/>
  <c r="L13" i="8"/>
  <c r="E13" i="8" s="1"/>
  <c r="L11" i="8"/>
  <c r="E11" i="8" s="1"/>
  <c r="L10" i="8"/>
  <c r="E10" i="8" s="1"/>
  <c r="L7" i="8"/>
  <c r="E7" i="8" s="1"/>
  <c r="L21" i="8"/>
  <c r="E21" i="8" s="1"/>
  <c r="L38" i="8"/>
  <c r="E38" i="8" s="1"/>
  <c r="L25" i="8"/>
  <c r="E25" i="8" s="1"/>
  <c r="L39" i="8"/>
  <c r="E39" i="8" s="1"/>
  <c r="L40" i="8"/>
  <c r="E40" i="8" s="1"/>
  <c r="L12" i="8"/>
  <c r="E12" i="8" s="1"/>
  <c r="L8" i="8"/>
  <c r="E8" i="8" s="1"/>
  <c r="L37" i="8"/>
  <c r="E37" i="8" s="1"/>
  <c r="L14" i="8"/>
  <c r="E14" i="8" s="1"/>
  <c r="L20" i="8"/>
  <c r="E20" i="8" s="1"/>
  <c r="L41" i="8"/>
  <c r="E41" i="8" s="1"/>
  <c r="L43" i="8"/>
  <c r="E43" i="8" s="1"/>
  <c r="L36" i="8"/>
  <c r="E36" i="8" s="1"/>
  <c r="L23" i="8"/>
  <c r="E23" i="8" s="1"/>
  <c r="L17" i="8"/>
  <c r="E17" i="8" s="1"/>
  <c r="L42" i="8"/>
  <c r="E42" i="8" s="1"/>
</calcChain>
</file>

<file path=xl/sharedStrings.xml><?xml version="1.0" encoding="utf-8"?>
<sst xmlns="http://schemas.openxmlformats.org/spreadsheetml/2006/main" count="72" uniqueCount="61">
  <si>
    <t>Diamètre en mm</t>
  </si>
  <si>
    <t>Pas en mm</t>
  </si>
  <si>
    <t>Section résistante en mm²</t>
  </si>
  <si>
    <t>C : couple de serrage (N·m)</t>
  </si>
  <si>
    <t>Pourcentage de contrainte admissible</t>
  </si>
  <si>
    <t>Inox A2</t>
  </si>
  <si>
    <t>Classe</t>
  </si>
  <si>
    <t>Limite de résistance élastique</t>
  </si>
  <si>
    <t>Re en MPa</t>
  </si>
  <si>
    <t>Couples de  serrage pour vis métalliques en N.m</t>
  </si>
  <si>
    <t>Matériaux ou classe de qualité</t>
  </si>
  <si>
    <t>Donnés à titre indicatif</t>
  </si>
  <si>
    <t>K : coefficient de frottement global</t>
  </si>
  <si>
    <t>Filetages fins</t>
  </si>
  <si>
    <t>! Le coefficient de frottement peut varier fortement en fonction des matériaux, de leur état de surface et de la lubrification !</t>
  </si>
  <si>
    <t>σ : contrainte admissible en pourcentage de la limite élastique</t>
  </si>
  <si>
    <t>As : section résistante de la vis (section de traction)</t>
  </si>
  <si>
    <t>d : diamètre nominal de la vis (en mètre)</t>
  </si>
  <si>
    <t>p : pas en mètre</t>
  </si>
  <si>
    <t>F : effort de serrage (en Newton)</t>
  </si>
  <si>
    <t>Coefficient de frottement K</t>
  </si>
  <si>
    <t>Pour une vis acier non lubrifiée K ≈ 0,15 à 0,25</t>
  </si>
  <si>
    <t>Pour une vis acier légèrement lubrifiée K ≈ 0,10 à 0,15</t>
  </si>
  <si>
    <r>
      <rPr>
        <b/>
        <sz val="18"/>
        <color theme="1"/>
        <rFont val="Calibri"/>
        <family val="2"/>
      </rPr>
      <t>©</t>
    </r>
    <r>
      <rPr>
        <b/>
        <sz val="18"/>
        <color theme="1"/>
        <rFont val="Calibri"/>
        <family val="2"/>
        <scheme val="minor"/>
      </rPr>
      <t>Copyright Olivier ADLER 2026</t>
    </r>
  </si>
  <si>
    <t>L'angle d'hélice est égal à :</t>
  </si>
  <si>
    <t>Ces tableaux utilisent une formule simplifiée qui ne tient pas compte de l'angle d'hélice, car il n'a qu'une petite influence sur la conversion du couple de serrage vers l'effort de serrage.</t>
  </si>
  <si>
    <t>Sans frottement, pour un même couple de serrage, l'effort de serrage augmenterait proportionnellement avec la diminution du pas :</t>
  </si>
  <si>
    <t>C'est pourquoi en réalité, et c'est contre intuitif, un pas fin accepte un couple de serrage plus élevé : c'est l'augmentation de la section résistante qui domine la conversion de couple.</t>
  </si>
  <si>
    <t>Les longueurs d’engagement usuelles restent donc valables pour les pas standards comme pour les pas fins, sauf cas limites ou matériaux très tendres.</t>
  </si>
  <si>
    <t>NB : à géométrie ISO comparable, le pas fin ne modifie pas significativement la longueur d’engagement nécessaire pour éviter l’arrachage.</t>
  </si>
  <si>
    <t>Les effets opposés du pas sur la hauteur du filet et sur le nombre de filets engagés se compensent.</t>
  </si>
  <si>
    <t>Mais l'effort de serrage est principalement influencé par le frottement µ, car la tangente de l'angle d'hélice est petite relativement au frottement.</t>
  </si>
  <si>
    <t>Formule "ingénieur" du couple de serrage</t>
  </si>
  <si>
    <t>Limite de résistance élastique Re</t>
  </si>
  <si>
    <t>Diamètre nominal</t>
  </si>
  <si>
    <t>Angle d'hélice</t>
  </si>
  <si>
    <t>Contrainte admissible en traction</t>
  </si>
  <si>
    <t>Diamètre moyen</t>
  </si>
  <si>
    <t>F traction max</t>
  </si>
  <si>
    <t>Section résistante</t>
  </si>
  <si>
    <t>Longueur d'engagement (% du diamètre)</t>
  </si>
  <si>
    <t>Contrainte admissible en cisaillement</t>
  </si>
  <si>
    <t>Facteur de sécurité cisaillement</t>
  </si>
  <si>
    <t>Facteur de sécurité appui</t>
  </si>
  <si>
    <t>Pression admissible en appui</t>
  </si>
  <si>
    <t>F appui max</t>
  </si>
  <si>
    <t>Diamètre intérieur d'appui</t>
  </si>
  <si>
    <t>Diamètre extérieur d'appui</t>
  </si>
  <si>
    <t>F arrachage filet</t>
  </si>
  <si>
    <t>F max</t>
  </si>
  <si>
    <t>Couple de serrage max</t>
  </si>
  <si>
    <t>Les paramètres en orange sont modifiables</t>
  </si>
  <si>
    <t>Formule avancée</t>
  </si>
  <si>
    <t>Formule simplifiée</t>
  </si>
  <si>
    <t>Formule avancée du couple de serrage</t>
  </si>
  <si>
    <r>
      <t xml:space="preserve">Tan </t>
    </r>
    <r>
      <rPr>
        <b/>
        <sz val="14"/>
        <color theme="1"/>
        <rFont val="Calibri"/>
        <family val="2"/>
      </rPr>
      <t>λ</t>
    </r>
  </si>
  <si>
    <r>
      <t>Coefficient de frottement filet (</t>
    </r>
    <r>
      <rPr>
        <b/>
        <sz val="14"/>
        <color theme="1"/>
        <rFont val="Calibri"/>
        <family val="2"/>
      </rPr>
      <t>μf)</t>
    </r>
  </si>
  <si>
    <r>
      <t>Coefficient de frottement appui (μ</t>
    </r>
    <r>
      <rPr>
        <b/>
        <sz val="12"/>
        <color theme="1"/>
        <rFont val="Calibri"/>
        <family val="2"/>
        <scheme val="minor"/>
      </rPr>
      <t>t)</t>
    </r>
  </si>
  <si>
    <t>Coefficient de frottement global</t>
  </si>
  <si>
    <t>Couples de  serrage pour vis métalliques classe 8.8 légèrement lubrifiées</t>
  </si>
  <si>
    <t>! Les coefficients de frottement peut varier fortement en fonction des matériaux, de leur état de surface et de la lubrification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</si>
</sst>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quot;M&quot;General"/>
    <numFmt numFmtId="165" formatCode="0.0"/>
    <numFmt numFmtId="169" formatCode="General&quot; MPa&quot;"/>
    <numFmt numFmtId="170" formatCode="0.0&quot; mm²&quot;"/>
    <numFmt numFmtId="171" formatCode="0.00&quot;°&quot;"/>
    <numFmt numFmtId="172" formatCode="0.00&quot; mm&quot;"/>
    <numFmt numFmtId="174" formatCode="#,###&quot; N&quot;"/>
    <numFmt numFmtId="180" formatCode="&quot;Dnominal x &quot;General"/>
    <numFmt numFmtId="182" formatCode="&quot;Dnominal + &quot;0.00"/>
    <numFmt numFmtId="184" formatCode="#,###.0&quot; N.m&quot;"/>
    <numFmt numFmtId="185" formatCode="#,###&quot; N.m&quot;"/>
    <numFmt numFmtId="186" formatCode="0&quot; MPa&quot;"/>
    <numFmt numFmtId="187" formatCode="0.000"/>
    <numFmt numFmtId="188" formatCode="#,##0.0&quot; N.m&quot;"/>
  </numFmts>
  <fonts count="13" x14ac:knownFonts="1">
    <font>
      <sz val="11"/>
      <color theme="1"/>
      <name val="Calibri"/>
      <family val="2"/>
      <scheme val="minor"/>
    </font>
    <font>
      <b/>
      <sz val="14"/>
      <color theme="1"/>
      <name val="Calibri"/>
      <family val="2"/>
      <scheme val="minor"/>
    </font>
    <font>
      <sz val="8"/>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b/>
      <sz val="24"/>
      <color theme="1"/>
      <name val="Calibri"/>
      <family val="2"/>
      <scheme val="minor"/>
    </font>
    <font>
      <b/>
      <sz val="16"/>
      <color theme="1"/>
      <name val="Calibri"/>
      <family val="2"/>
      <scheme val="minor"/>
    </font>
    <font>
      <b/>
      <sz val="18"/>
      <color theme="1"/>
      <name val="Calibri"/>
      <family val="2"/>
    </font>
    <font>
      <i/>
      <u/>
      <sz val="20"/>
      <color theme="1"/>
      <name val="Calibri"/>
      <family val="2"/>
      <scheme val="minor"/>
    </font>
    <font>
      <b/>
      <sz val="14"/>
      <color theme="1"/>
      <name val="Calibri"/>
      <family val="2"/>
    </font>
    <font>
      <b/>
      <sz val="22"/>
      <color theme="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rgb="FFD2B48C"/>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117">
    <xf numFmtId="0" fontId="0" fillId="0" borderId="0" xfId="0"/>
    <xf numFmtId="0" fontId="1" fillId="0" borderId="4" xfId="0" applyFont="1" applyBorder="1"/>
    <xf numFmtId="0" fontId="1" fillId="0" borderId="5" xfId="0" applyFont="1" applyBorder="1"/>
    <xf numFmtId="0" fontId="1" fillId="0" borderId="0" xfId="0" applyFont="1"/>
    <xf numFmtId="0" fontId="1" fillId="0" borderId="0" xfId="0" applyFont="1" applyAlignment="1">
      <alignment vertical="center"/>
    </xf>
    <xf numFmtId="0" fontId="0" fillId="0" borderId="5" xfId="0" applyBorder="1"/>
    <xf numFmtId="0" fontId="3" fillId="0" borderId="0" xfId="0" applyFont="1"/>
    <xf numFmtId="0" fontId="4" fillId="0" borderId="0" xfId="0" applyFont="1"/>
    <xf numFmtId="0" fontId="3" fillId="0" borderId="0" xfId="0" applyFont="1" applyAlignment="1">
      <alignment horizontal="center"/>
    </xf>
    <xf numFmtId="0" fontId="1" fillId="0" borderId="0" xfId="0" applyFont="1" applyBorder="1" applyAlignment="1">
      <alignment horizontal="center"/>
    </xf>
    <xf numFmtId="0" fontId="0" fillId="0" borderId="6" xfId="0" applyBorder="1"/>
    <xf numFmtId="0" fontId="5" fillId="0" borderId="0" xfId="0" applyFont="1"/>
    <xf numFmtId="0" fontId="6" fillId="0" borderId="0" xfId="0" applyFont="1"/>
    <xf numFmtId="0" fontId="1" fillId="2" borderId="0" xfId="0" applyFont="1" applyFill="1"/>
    <xf numFmtId="0" fontId="7" fillId="0" borderId="0" xfId="0" applyFont="1" applyAlignment="1">
      <alignment vertical="center"/>
    </xf>
    <xf numFmtId="0" fontId="3" fillId="0" borderId="0" xfId="0" applyFont="1" applyAlignment="1">
      <alignment horizontal="center" vertical="center"/>
    </xf>
    <xf numFmtId="0" fontId="0" fillId="0" borderId="0" xfId="0" applyFill="1"/>
    <xf numFmtId="0" fontId="0" fillId="0" borderId="0" xfId="0" applyBorder="1"/>
    <xf numFmtId="0" fontId="0" fillId="0" borderId="0" xfId="0" applyFill="1" applyBorder="1"/>
    <xf numFmtId="9" fontId="1" fillId="2" borderId="0" xfId="0" applyNumberFormat="1" applyFont="1" applyFill="1"/>
    <xf numFmtId="0" fontId="1" fillId="2" borderId="10" xfId="0" applyFont="1" applyFill="1" applyBorder="1" applyAlignment="1">
      <alignment vertical="center"/>
    </xf>
    <xf numFmtId="0" fontId="0" fillId="2" borderId="11" xfId="0" applyFill="1" applyBorder="1"/>
    <xf numFmtId="0" fontId="1" fillId="2" borderId="12" xfId="0" applyFont="1" applyFill="1" applyBorder="1"/>
    <xf numFmtId="0" fontId="8" fillId="0" borderId="0" xfId="0" applyFont="1"/>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164" fontId="1" fillId="0" borderId="4" xfId="0" applyNumberFormat="1" applyFont="1" applyFill="1" applyBorder="1" applyAlignment="1">
      <alignment horizontal="center"/>
    </xf>
    <xf numFmtId="2" fontId="1" fillId="0" borderId="5" xfId="0" applyNumberFormat="1" applyFont="1" applyFill="1" applyBorder="1" applyAlignment="1">
      <alignment horizontal="center"/>
    </xf>
    <xf numFmtId="165" fontId="1" fillId="0" borderId="5" xfId="0" applyNumberFormat="1" applyFont="1" applyFill="1" applyBorder="1" applyAlignment="1">
      <alignment horizontal="center"/>
    </xf>
    <xf numFmtId="165" fontId="1" fillId="0" borderId="6" xfId="0" applyNumberFormat="1" applyFont="1" applyFill="1" applyBorder="1" applyAlignment="1">
      <alignment horizontal="center"/>
    </xf>
    <xf numFmtId="1" fontId="1" fillId="0" borderId="5" xfId="0" applyNumberFormat="1" applyFont="1" applyFill="1" applyBorder="1" applyAlignment="1">
      <alignment horizontal="center"/>
    </xf>
    <xf numFmtId="1" fontId="1" fillId="0" borderId="6" xfId="0" applyNumberFormat="1" applyFont="1" applyFill="1" applyBorder="1" applyAlignment="1">
      <alignment horizontal="center"/>
    </xf>
    <xf numFmtId="164" fontId="1" fillId="0" borderId="7" xfId="0" applyNumberFormat="1" applyFont="1" applyFill="1" applyBorder="1" applyAlignment="1">
      <alignment horizontal="center"/>
    </xf>
    <xf numFmtId="2" fontId="1" fillId="0" borderId="8" xfId="0" applyNumberFormat="1" applyFont="1" applyFill="1" applyBorder="1" applyAlignment="1">
      <alignment horizontal="center"/>
    </xf>
    <xf numFmtId="1" fontId="1" fillId="0" borderId="8" xfId="0" applyNumberFormat="1" applyFont="1" applyFill="1" applyBorder="1" applyAlignment="1">
      <alignment horizontal="center"/>
    </xf>
    <xf numFmtId="1" fontId="1" fillId="0" borderId="9" xfId="0" applyNumberFormat="1" applyFont="1" applyFill="1" applyBorder="1" applyAlignment="1">
      <alignment horizontal="center"/>
    </xf>
    <xf numFmtId="164" fontId="1" fillId="4" borderId="4" xfId="0" applyNumberFormat="1" applyFont="1" applyFill="1" applyBorder="1" applyAlignment="1">
      <alignment horizontal="center"/>
    </xf>
    <xf numFmtId="2" fontId="1" fillId="4" borderId="5" xfId="0" applyNumberFormat="1" applyFont="1" applyFill="1" applyBorder="1" applyAlignment="1">
      <alignment horizontal="center"/>
    </xf>
    <xf numFmtId="165" fontId="1" fillId="4" borderId="5" xfId="0" applyNumberFormat="1" applyFont="1" applyFill="1" applyBorder="1" applyAlignment="1">
      <alignment horizontal="center"/>
    </xf>
    <xf numFmtId="165" fontId="1" fillId="4" borderId="6" xfId="0" applyNumberFormat="1" applyFont="1" applyFill="1" applyBorder="1" applyAlignment="1">
      <alignment horizontal="center"/>
    </xf>
    <xf numFmtId="1" fontId="1" fillId="4" borderId="5" xfId="0" applyNumberFormat="1" applyFont="1" applyFill="1" applyBorder="1" applyAlignment="1">
      <alignment horizontal="center"/>
    </xf>
    <xf numFmtId="1" fontId="1" fillId="4" borderId="6" xfId="0" applyNumberFormat="1" applyFont="1" applyFill="1" applyBorder="1" applyAlignment="1">
      <alignment horizontal="center"/>
    </xf>
    <xf numFmtId="164" fontId="1" fillId="4" borderId="7" xfId="0" applyNumberFormat="1" applyFont="1" applyFill="1" applyBorder="1" applyAlignment="1">
      <alignment horizontal="center"/>
    </xf>
    <xf numFmtId="2" fontId="1" fillId="4" borderId="8" xfId="0" applyNumberFormat="1" applyFont="1" applyFill="1" applyBorder="1" applyAlignment="1">
      <alignment horizontal="center"/>
    </xf>
    <xf numFmtId="1" fontId="1" fillId="4" borderId="8" xfId="0" applyNumberFormat="1" applyFont="1" applyFill="1" applyBorder="1" applyAlignment="1">
      <alignment horizontal="center"/>
    </xf>
    <xf numFmtId="1" fontId="1" fillId="4" borderId="9" xfId="0" applyNumberFormat="1" applyFont="1" applyFill="1" applyBorder="1" applyAlignment="1">
      <alignment horizontal="center"/>
    </xf>
    <xf numFmtId="165" fontId="1" fillId="0" borderId="8" xfId="0" applyNumberFormat="1" applyFont="1" applyFill="1" applyBorder="1" applyAlignment="1">
      <alignment horizontal="center"/>
    </xf>
    <xf numFmtId="165" fontId="1" fillId="4" borderId="8" xfId="0" applyNumberFormat="1" applyFont="1" applyFill="1" applyBorder="1" applyAlignment="1">
      <alignment horizontal="center"/>
    </xf>
    <xf numFmtId="0" fontId="8" fillId="3" borderId="10" xfId="0" applyFont="1" applyFill="1" applyBorder="1" applyAlignment="1">
      <alignment horizontal="center"/>
    </xf>
    <xf numFmtId="0" fontId="8" fillId="3" borderId="11" xfId="0" applyFont="1" applyFill="1" applyBorder="1" applyAlignment="1">
      <alignment horizontal="center"/>
    </xf>
    <xf numFmtId="0" fontId="8" fillId="3" borderId="12" xfId="0" applyFont="1" applyFill="1" applyBorder="1" applyAlignment="1">
      <alignment horizontal="center"/>
    </xf>
    <xf numFmtId="0" fontId="1" fillId="0" borderId="13" xfId="0" applyFont="1" applyFill="1" applyBorder="1" applyAlignment="1">
      <alignment horizont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0" fillId="2" borderId="0" xfId="0" applyFill="1"/>
    <xf numFmtId="0" fontId="1" fillId="2" borderId="0" xfId="0" applyFont="1" applyFill="1" applyBorder="1" applyAlignment="1">
      <alignment vertical="center"/>
    </xf>
    <xf numFmtId="0" fontId="0" fillId="2" borderId="0" xfId="0" applyFill="1" applyBorder="1"/>
    <xf numFmtId="0" fontId="1" fillId="0" borderId="0" xfId="0" applyFont="1" applyFill="1"/>
    <xf numFmtId="169" fontId="1" fillId="0" borderId="0" xfId="0" applyNumberFormat="1" applyFont="1" applyFill="1"/>
    <xf numFmtId="169" fontId="1" fillId="2" borderId="0" xfId="0" applyNumberFormat="1" applyFont="1" applyFill="1"/>
    <xf numFmtId="0" fontId="1" fillId="0" borderId="0" xfId="0" applyFont="1" applyAlignment="1">
      <alignment horizontal="left"/>
    </xf>
    <xf numFmtId="169" fontId="1" fillId="0" borderId="0" xfId="0" applyNumberFormat="1" applyFont="1"/>
    <xf numFmtId="0" fontId="1" fillId="2" borderId="0" xfId="0" applyFont="1" applyFill="1" applyAlignment="1">
      <alignment horizontal="left"/>
    </xf>
    <xf numFmtId="180" fontId="1" fillId="2" borderId="0" xfId="0" applyNumberFormat="1" applyFont="1" applyFill="1"/>
    <xf numFmtId="182" fontId="1" fillId="2" borderId="0" xfId="0" applyNumberFormat="1" applyFont="1" applyFill="1"/>
    <xf numFmtId="0" fontId="10" fillId="0" borderId="0" xfId="0" applyFont="1"/>
    <xf numFmtId="186" fontId="1" fillId="0" borderId="0" xfId="0" applyNumberFormat="1" applyFont="1"/>
    <xf numFmtId="0" fontId="8" fillId="0" borderId="0" xfId="0" applyFont="1" applyFill="1" applyBorder="1" applyAlignment="1">
      <alignment horizontal="center"/>
    </xf>
    <xf numFmtId="187" fontId="1" fillId="2" borderId="0" xfId="0" applyNumberFormat="1" applyFont="1" applyFill="1" applyBorder="1"/>
    <xf numFmtId="0" fontId="12" fillId="0" borderId="0" xfId="0" applyFont="1" applyAlignment="1">
      <alignment vertical="center"/>
    </xf>
    <xf numFmtId="0" fontId="8" fillId="0" borderId="0" xfId="0" applyFont="1" applyFill="1" applyBorder="1" applyAlignment="1">
      <alignment vertical="center"/>
    </xf>
    <xf numFmtId="0" fontId="1" fillId="0" borderId="0" xfId="0" applyFont="1" applyFill="1" applyBorder="1" applyAlignment="1">
      <alignment horizontal="center"/>
    </xf>
    <xf numFmtId="165" fontId="1" fillId="0" borderId="0" xfId="0" applyNumberFormat="1" applyFont="1" applyFill="1" applyBorder="1" applyAlignment="1">
      <alignment horizontal="center"/>
    </xf>
    <xf numFmtId="1" fontId="1" fillId="0" borderId="0" xfId="0" applyNumberFormat="1" applyFont="1" applyFill="1" applyBorder="1" applyAlignment="1">
      <alignment horizontal="center"/>
    </xf>
    <xf numFmtId="164" fontId="1" fillId="4" borderId="4" xfId="0" applyNumberFormat="1" applyFont="1" applyFill="1" applyBorder="1" applyAlignment="1">
      <alignment horizontal="center" vertical="center"/>
    </xf>
    <xf numFmtId="2" fontId="1" fillId="4" borderId="5" xfId="0" applyNumberFormat="1" applyFont="1" applyFill="1" applyBorder="1" applyAlignment="1">
      <alignment horizontal="center" vertical="center"/>
    </xf>
    <xf numFmtId="184" fontId="1" fillId="4" borderId="5" xfId="0" applyNumberFormat="1" applyFont="1" applyFill="1" applyBorder="1" applyAlignment="1">
      <alignment horizontal="center" vertical="center"/>
    </xf>
    <xf numFmtId="188" fontId="1" fillId="4" borderId="5" xfId="0" applyNumberFormat="1" applyFont="1" applyFill="1" applyBorder="1" applyAlignment="1">
      <alignment horizontal="center" vertical="center"/>
    </xf>
    <xf numFmtId="170" fontId="1" fillId="4" borderId="5" xfId="0" applyNumberFormat="1" applyFont="1" applyFill="1" applyBorder="1" applyAlignment="1">
      <alignment horizontal="center" vertical="center"/>
    </xf>
    <xf numFmtId="171" fontId="1" fillId="4" borderId="5" xfId="0" applyNumberFormat="1" applyFont="1" applyFill="1" applyBorder="1" applyAlignment="1">
      <alignment horizontal="center" vertical="center"/>
    </xf>
    <xf numFmtId="172" fontId="1" fillId="4" borderId="5" xfId="0" applyNumberFormat="1" applyFont="1" applyFill="1" applyBorder="1" applyAlignment="1">
      <alignment horizontal="center" vertical="center"/>
    </xf>
    <xf numFmtId="174" fontId="1" fillId="4" borderId="5" xfId="0" applyNumberFormat="1" applyFont="1" applyFill="1" applyBorder="1" applyAlignment="1">
      <alignment horizontal="center" vertical="center"/>
    </xf>
    <xf numFmtId="164" fontId="1" fillId="0" borderId="4" xfId="0" applyNumberFormat="1" applyFont="1" applyFill="1" applyBorder="1" applyAlignment="1">
      <alignment horizontal="center" vertical="center"/>
    </xf>
    <xf numFmtId="2" fontId="1" fillId="0" borderId="5" xfId="0" applyNumberFormat="1" applyFont="1" applyFill="1" applyBorder="1" applyAlignment="1">
      <alignment horizontal="center" vertical="center"/>
    </xf>
    <xf numFmtId="185" fontId="1" fillId="4" borderId="5" xfId="0" applyNumberFormat="1" applyFont="1" applyFill="1" applyBorder="1" applyAlignment="1">
      <alignment horizontal="center" vertical="center"/>
    </xf>
    <xf numFmtId="164" fontId="1" fillId="4" borderId="7" xfId="0" applyNumberFormat="1" applyFont="1" applyFill="1" applyBorder="1" applyAlignment="1">
      <alignment horizontal="center" vertical="center"/>
    </xf>
    <xf numFmtId="2" fontId="1" fillId="4" borderId="8"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5" xfId="0" applyFont="1" applyBorder="1" applyAlignment="1">
      <alignment horizontal="center" vertical="center"/>
    </xf>
    <xf numFmtId="0" fontId="0" fillId="0" borderId="5" xfId="0" applyBorder="1" applyAlignment="1">
      <alignment vertical="center"/>
    </xf>
    <xf numFmtId="0" fontId="1" fillId="0" borderId="0" xfId="0" applyFont="1" applyFill="1" applyBorder="1" applyAlignment="1">
      <alignment horizontal="center"/>
    </xf>
    <xf numFmtId="0" fontId="1" fillId="3" borderId="3" xfId="0" applyFont="1" applyFill="1" applyBorder="1" applyAlignment="1">
      <alignment horizontal="center" vertical="center"/>
    </xf>
    <xf numFmtId="0" fontId="0" fillId="0" borderId="6" xfId="0" applyBorder="1" applyAlignment="1">
      <alignment vertical="center"/>
    </xf>
    <xf numFmtId="187" fontId="1" fillId="4" borderId="6" xfId="0" applyNumberFormat="1" applyFont="1" applyFill="1" applyBorder="1" applyAlignment="1">
      <alignment horizontal="center" vertical="center"/>
    </xf>
    <xf numFmtId="185" fontId="1" fillId="4" borderId="8" xfId="0" applyNumberFormat="1" applyFont="1" applyFill="1" applyBorder="1" applyAlignment="1">
      <alignment horizontal="center" vertical="center"/>
    </xf>
    <xf numFmtId="170" fontId="1" fillId="4" borderId="8" xfId="0" applyNumberFormat="1" applyFont="1" applyFill="1" applyBorder="1" applyAlignment="1">
      <alignment horizontal="center" vertical="center"/>
    </xf>
    <xf numFmtId="171" fontId="1" fillId="4" borderId="8" xfId="0" applyNumberFormat="1" applyFont="1" applyFill="1" applyBorder="1" applyAlignment="1">
      <alignment horizontal="center" vertical="center"/>
    </xf>
    <xf numFmtId="172" fontId="1" fillId="4" borderId="8" xfId="0" applyNumberFormat="1" applyFont="1" applyFill="1" applyBorder="1" applyAlignment="1">
      <alignment horizontal="center" vertical="center"/>
    </xf>
    <xf numFmtId="174" fontId="1" fillId="4" borderId="8" xfId="0" applyNumberFormat="1" applyFont="1" applyFill="1" applyBorder="1" applyAlignment="1">
      <alignment horizontal="center" vertical="center"/>
    </xf>
    <xf numFmtId="187" fontId="1" fillId="4" borderId="9" xfId="0" applyNumberFormat="1" applyFont="1" applyFill="1" applyBorder="1" applyAlignment="1">
      <alignment horizontal="center" vertical="center"/>
    </xf>
    <xf numFmtId="0" fontId="8" fillId="0" borderId="0" xfId="0" applyFont="1" applyFill="1" applyBorder="1" applyAlignment="1">
      <alignment horizontal="center" vertical="center"/>
    </xf>
    <xf numFmtId="184" fontId="1" fillId="0" borderId="5" xfId="0" applyNumberFormat="1" applyFont="1" applyFill="1" applyBorder="1" applyAlignment="1">
      <alignment horizontal="center" vertical="center"/>
    </xf>
    <xf numFmtId="188" fontId="1" fillId="0" borderId="5" xfId="0" applyNumberFormat="1" applyFont="1" applyFill="1" applyBorder="1" applyAlignment="1">
      <alignment horizontal="center" vertical="center"/>
    </xf>
    <xf numFmtId="170" fontId="1" fillId="0" borderId="5" xfId="0" applyNumberFormat="1" applyFont="1" applyFill="1" applyBorder="1" applyAlignment="1">
      <alignment horizontal="center" vertical="center"/>
    </xf>
    <xf numFmtId="171" fontId="1" fillId="0" borderId="5" xfId="0" applyNumberFormat="1" applyFont="1" applyFill="1" applyBorder="1" applyAlignment="1">
      <alignment horizontal="center" vertical="center"/>
    </xf>
    <xf numFmtId="172" fontId="1" fillId="0" borderId="5" xfId="0" applyNumberFormat="1" applyFont="1" applyFill="1" applyBorder="1" applyAlignment="1">
      <alignment horizontal="center" vertical="center"/>
    </xf>
    <xf numFmtId="174" fontId="1" fillId="0" borderId="5" xfId="0" applyNumberFormat="1" applyFont="1" applyFill="1" applyBorder="1" applyAlignment="1">
      <alignment horizontal="center" vertical="center"/>
    </xf>
    <xf numFmtId="187" fontId="1" fillId="0" borderId="6" xfId="0" applyNumberFormat="1" applyFont="1" applyFill="1" applyBorder="1" applyAlignment="1">
      <alignment horizontal="center" vertical="center"/>
    </xf>
    <xf numFmtId="185" fontId="1" fillId="0"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761319</xdr:colOff>
      <xdr:row>44</xdr:row>
      <xdr:rowOff>103412</xdr:rowOff>
    </xdr:from>
    <xdr:to>
      <xdr:col>10</xdr:col>
      <xdr:colOff>877660</xdr:colOff>
      <xdr:row>62</xdr:row>
      <xdr:rowOff>51027</xdr:rowOff>
    </xdr:to>
    <xdr:sp macro="" textlink="">
      <xdr:nvSpPr>
        <xdr:cNvPr id="11" name="ZoneTexte 10">
          <a:extLst>
            <a:ext uri="{FF2B5EF4-FFF2-40B4-BE49-F238E27FC236}">
              <a16:creationId xmlns:a16="http://schemas.microsoft.com/office/drawing/2014/main" id="{1F253F2C-CAD2-4CAE-8BDA-437944020A75}"/>
            </a:ext>
          </a:extLst>
        </xdr:cNvPr>
        <xdr:cNvSpPr txBox="1"/>
      </xdr:nvSpPr>
      <xdr:spPr>
        <a:xfrm>
          <a:off x="761319" y="11618457"/>
          <a:ext cx="14208238" cy="4488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La formule simplifiée, courament utilisée</a:t>
          </a:r>
          <a:r>
            <a:rPr lang="fr-FR" sz="1800" baseline="0"/>
            <a:t> :</a:t>
          </a:r>
          <a:endParaRPr lang="fr-FR" sz="1800"/>
        </a:p>
        <a:p>
          <a:endParaRPr lang="fr-FR" sz="1800"/>
        </a:p>
        <a:p>
          <a:endParaRPr lang="fr-FR" sz="1800"/>
        </a:p>
        <a:p>
          <a:r>
            <a:rPr lang="fr-FR" sz="1800"/>
            <a:t>est une approximation. Elle donne des valeurs de couple légèrement trop importantes pour les filetages </a:t>
          </a:r>
          <a:r>
            <a:rPr lang="fr-FR" sz="1800" baseline="0"/>
            <a:t>fins en ne tenant pas compte de l'angle d'hélice du filetage.</a:t>
          </a:r>
          <a:endParaRPr lang="fr-FR" sz="1800"/>
        </a:p>
        <a:p>
          <a:endParaRPr lang="fr-FR" sz="1800"/>
        </a:p>
        <a:p>
          <a:r>
            <a:rPr lang="fr-FR" sz="1800"/>
            <a:t>Si le couple de serrage maximal admissible est bien proportionnel à l’effort de serrage admissible, ce dernier n’est pas uniquement déterminé par la contrainte admissible et la section résistante de la vis comme indiqué dans cette formule.</a:t>
          </a:r>
        </a:p>
        <a:p>
          <a:br>
            <a:rPr lang="fr-FR" sz="1800"/>
          </a:br>
          <a:r>
            <a:rPr lang="fr-FR" sz="1800"/>
            <a:t>En réalité, l'effort de serrage maximum est le minimum des limites en traction de la vis, en arrachage du filet et en pression maximum sous tête. Également, le pas de la vis influence non seulement la section résistante, mais aussi (dans une moindre mesure) la conversion couple–effort via l’angle d’hélice.</a:t>
          </a:r>
          <a:br>
            <a:rPr lang="fr-FR" sz="1800"/>
          </a:br>
          <a:endParaRPr lang="fr-FR" sz="1800"/>
        </a:p>
        <a:p>
          <a:r>
            <a:rPr lang="fr-FR" sz="1800"/>
            <a:t>Pour les assemblages vissés courants, la contribution de l'angle d'hélice dans la conversion couple–effort reste faible, ce qui explique son masquage dans la formule approchée courante par un coefficient de frottement global.</a:t>
          </a:r>
        </a:p>
        <a:p>
          <a:endParaRPr lang="fr-FR" sz="1800"/>
        </a:p>
        <a:p>
          <a:br>
            <a:rPr lang="fr-FR" sz="1800"/>
          </a:br>
          <a:endParaRPr lang="fr-FR" sz="1800"/>
        </a:p>
      </xdr:txBody>
    </xdr:sp>
    <xdr:clientData/>
  </xdr:twoCellAnchor>
  <xdr:oneCellAnchor>
    <xdr:from>
      <xdr:col>0</xdr:col>
      <xdr:colOff>759277</xdr:colOff>
      <xdr:row>46</xdr:row>
      <xdr:rowOff>111578</xdr:rowOff>
    </xdr:from>
    <xdr:ext cx="1557338" cy="314325"/>
    <mc:AlternateContent xmlns:mc="http://schemas.openxmlformats.org/markup-compatibility/2006">
      <mc:Choice xmlns:a14="http://schemas.microsoft.com/office/drawing/2010/main" Requires="a14">
        <xdr:sp macro="" textlink="">
          <xdr:nvSpPr>
            <xdr:cNvPr id="13" name="ZoneTexte 12">
              <a:extLst>
                <a:ext uri="{FF2B5EF4-FFF2-40B4-BE49-F238E27FC236}">
                  <a16:creationId xmlns:a16="http://schemas.microsoft.com/office/drawing/2014/main" id="{19DD4C2D-051A-4EDC-B59D-8E5B1DD30811}"/>
                </a:ext>
              </a:extLst>
            </xdr:cNvPr>
            <xdr:cNvSpPr txBox="1"/>
          </xdr:nvSpPr>
          <xdr:spPr>
            <a:xfrm>
              <a:off x="759277" y="12102873"/>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FR" sz="2000" b="1" i="1">
                        <a:latin typeface="Cambria Math" panose="02040503050406030204" pitchFamily="18" charset="0"/>
                      </a:rPr>
                      <m:t>𝑪</m:t>
                    </m:r>
                    <m:r>
                      <a:rPr lang="fr-FR" sz="2000" b="1" i="1">
                        <a:latin typeface="Cambria Math" panose="02040503050406030204" pitchFamily="18" charset="0"/>
                      </a:rPr>
                      <m:t>=</m:t>
                    </m:r>
                    <m:r>
                      <a:rPr lang="fr-FR" sz="2000" b="1" i="1">
                        <a:latin typeface="Cambria Math" panose="02040503050406030204" pitchFamily="18" charset="0"/>
                      </a:rPr>
                      <m:t>𝑲</m:t>
                    </m:r>
                    <m:r>
                      <a:rPr lang="fr-FR" sz="2000" b="1" i="1">
                        <a:latin typeface="Cambria Math" panose="02040503050406030204" pitchFamily="18" charset="0"/>
                      </a:rPr>
                      <m:t>⋅</m:t>
                    </m:r>
                    <m:r>
                      <a:rPr lang="fr-FR" sz="2000" b="1" i="1">
                        <a:latin typeface="Cambria Math" panose="02040503050406030204" pitchFamily="18" charset="0"/>
                      </a:rPr>
                      <m:t>𝑭</m:t>
                    </m:r>
                    <m:r>
                      <a:rPr lang="fr-FR" sz="2000" b="1" i="1">
                        <a:latin typeface="Cambria Math" panose="02040503050406030204" pitchFamily="18" charset="0"/>
                      </a:rPr>
                      <m:t>⋅</m:t>
                    </m:r>
                    <m:r>
                      <a:rPr lang="fr-FR" sz="2000" b="1" i="1">
                        <a:latin typeface="Cambria Math" panose="02040503050406030204" pitchFamily="18" charset="0"/>
                      </a:rPr>
                      <m:t>𝒅</m:t>
                    </m:r>
                  </m:oMath>
                </m:oMathPara>
              </a14:m>
              <a:endParaRPr lang="fr-FR" sz="2000" b="1"/>
            </a:p>
            <a:p>
              <a:endParaRPr lang="fr-FR" sz="2000" b="1"/>
            </a:p>
          </xdr:txBody>
        </xdr:sp>
      </mc:Choice>
      <mc:Fallback>
        <xdr:sp macro="" textlink="">
          <xdr:nvSpPr>
            <xdr:cNvPr id="13" name="ZoneTexte 12">
              <a:extLst>
                <a:ext uri="{FF2B5EF4-FFF2-40B4-BE49-F238E27FC236}">
                  <a16:creationId xmlns:a16="http://schemas.microsoft.com/office/drawing/2014/main" id="{19DD4C2D-051A-4EDC-B59D-8E5B1DD30811}"/>
                </a:ext>
              </a:extLst>
            </xdr:cNvPr>
            <xdr:cNvSpPr txBox="1"/>
          </xdr:nvSpPr>
          <xdr:spPr>
            <a:xfrm>
              <a:off x="759277" y="12102873"/>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FR" sz="2000" b="1" i="0">
                  <a:latin typeface="Cambria Math" panose="02040503050406030204" pitchFamily="18" charset="0"/>
                </a:rPr>
                <a:t>𝑪=𝑲⋅𝑭⋅𝒅</a:t>
              </a:r>
              <a:endParaRPr lang="fr-FR" sz="2000" b="1"/>
            </a:p>
            <a:p>
              <a:endParaRPr lang="fr-FR" sz="2000" b="1"/>
            </a:p>
          </xdr:txBody>
        </xdr:sp>
      </mc:Fallback>
    </mc:AlternateContent>
    <xdr:clientData/>
  </xdr:oneCellAnchor>
  <xdr:twoCellAnchor editAs="oneCell">
    <xdr:from>
      <xdr:col>14</xdr:col>
      <xdr:colOff>0</xdr:colOff>
      <xdr:row>21</xdr:row>
      <xdr:rowOff>0</xdr:rowOff>
    </xdr:from>
    <xdr:to>
      <xdr:col>22</xdr:col>
      <xdr:colOff>245608</xdr:colOff>
      <xdr:row>108</xdr:row>
      <xdr:rowOff>4422</xdr:rowOff>
    </xdr:to>
    <xdr:pic>
      <xdr:nvPicPr>
        <xdr:cNvPr id="22" name="Image 21">
          <a:extLst>
            <a:ext uri="{FF2B5EF4-FFF2-40B4-BE49-F238E27FC236}">
              <a16:creationId xmlns:a16="http://schemas.microsoft.com/office/drawing/2014/main" id="{A8F676DC-7003-4969-9558-88D60CDD52EE}"/>
            </a:ext>
          </a:extLst>
        </xdr:cNvPr>
        <xdr:cNvPicPr>
          <a:picLocks noChangeAspect="1"/>
        </xdr:cNvPicPr>
      </xdr:nvPicPr>
      <xdr:blipFill>
        <a:blip xmlns:r="http://schemas.openxmlformats.org/officeDocument/2006/relationships" r:embed="rId1"/>
        <a:stretch>
          <a:fillRect/>
        </a:stretch>
      </xdr:blipFill>
      <xdr:spPr>
        <a:xfrm>
          <a:off x="18658795" y="3520848"/>
          <a:ext cx="9039225" cy="1901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942975</xdr:colOff>
      <xdr:row>25</xdr:row>
      <xdr:rowOff>85725</xdr:rowOff>
    </xdr:from>
    <xdr:ext cx="1557338" cy="314325"/>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F9696B26-BBAA-4855-B7D5-CF6906B867A2}"/>
                </a:ext>
              </a:extLst>
            </xdr:cNvPr>
            <xdr:cNvSpPr txBox="1"/>
          </xdr:nvSpPr>
          <xdr:spPr>
            <a:xfrm>
              <a:off x="17383125" y="6191250"/>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FR" sz="2000" b="1" i="1">
                        <a:latin typeface="Cambria Math" panose="02040503050406030204" pitchFamily="18" charset="0"/>
                      </a:rPr>
                      <m:t>𝑪</m:t>
                    </m:r>
                    <m:r>
                      <a:rPr lang="fr-FR" sz="2000" b="1" i="1">
                        <a:latin typeface="Cambria Math" panose="02040503050406030204" pitchFamily="18" charset="0"/>
                      </a:rPr>
                      <m:t>=</m:t>
                    </m:r>
                    <m:r>
                      <a:rPr lang="fr-FR" sz="2000" b="1" i="1">
                        <a:latin typeface="Cambria Math" panose="02040503050406030204" pitchFamily="18" charset="0"/>
                      </a:rPr>
                      <m:t>𝑲</m:t>
                    </m:r>
                    <m:r>
                      <a:rPr lang="fr-FR" sz="2000" b="1" i="1">
                        <a:latin typeface="Cambria Math" panose="02040503050406030204" pitchFamily="18" charset="0"/>
                      </a:rPr>
                      <m:t>⋅</m:t>
                    </m:r>
                    <m:r>
                      <a:rPr lang="fr-FR" sz="2000" b="1" i="1">
                        <a:latin typeface="Cambria Math" panose="02040503050406030204" pitchFamily="18" charset="0"/>
                      </a:rPr>
                      <m:t>𝑭</m:t>
                    </m:r>
                    <m:r>
                      <a:rPr lang="fr-FR" sz="2000" b="1" i="1">
                        <a:latin typeface="Cambria Math" panose="02040503050406030204" pitchFamily="18" charset="0"/>
                      </a:rPr>
                      <m:t>⋅</m:t>
                    </m:r>
                    <m:r>
                      <a:rPr lang="fr-FR" sz="2000" b="1" i="1">
                        <a:latin typeface="Cambria Math" panose="02040503050406030204" pitchFamily="18" charset="0"/>
                      </a:rPr>
                      <m:t>𝒅</m:t>
                    </m:r>
                  </m:oMath>
                </m:oMathPara>
              </a14:m>
              <a:endParaRPr lang="fr-FR" sz="2000" b="1"/>
            </a:p>
            <a:p>
              <a:endParaRPr lang="fr-FR" sz="2000" b="1"/>
            </a:p>
          </xdr:txBody>
        </xdr:sp>
      </mc:Choice>
      <mc:Fallback xmlns="">
        <xdr:sp macro="" textlink="">
          <xdr:nvSpPr>
            <xdr:cNvPr id="2" name="ZoneTexte 1">
              <a:extLst>
                <a:ext uri="{FF2B5EF4-FFF2-40B4-BE49-F238E27FC236}">
                  <a16:creationId xmlns:a16="http://schemas.microsoft.com/office/drawing/2014/main" id="{F9696B26-BBAA-4855-B7D5-CF6906B867A2}"/>
                </a:ext>
              </a:extLst>
            </xdr:cNvPr>
            <xdr:cNvSpPr txBox="1"/>
          </xdr:nvSpPr>
          <xdr:spPr>
            <a:xfrm>
              <a:off x="17383125" y="6191250"/>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FR" sz="2000" b="1" i="0">
                  <a:latin typeface="Cambria Math" panose="02040503050406030204" pitchFamily="18" charset="0"/>
                </a:rPr>
                <a:t>𝑪=𝑲⋅𝑭⋅𝒅</a:t>
              </a:r>
              <a:endParaRPr lang="fr-FR" sz="2000" b="1"/>
            </a:p>
            <a:p>
              <a:endParaRPr lang="fr-FR" sz="2000" b="1"/>
            </a:p>
          </xdr:txBody>
        </xdr:sp>
      </mc:Fallback>
    </mc:AlternateContent>
    <xdr:clientData/>
  </xdr:oneCellAnchor>
  <xdr:oneCellAnchor>
    <xdr:from>
      <xdr:col>15</xdr:col>
      <xdr:colOff>952500</xdr:colOff>
      <xdr:row>29</xdr:row>
      <xdr:rowOff>90487</xdr:rowOff>
    </xdr:from>
    <xdr:ext cx="1243013" cy="309563"/>
    <mc:AlternateContent xmlns:mc="http://schemas.openxmlformats.org/markup-compatibility/2006" xmlns:a14="http://schemas.microsoft.com/office/drawing/2010/main">
      <mc:Choice Requires="a14">
        <xdr:sp macro="" textlink="">
          <xdr:nvSpPr>
            <xdr:cNvPr id="10" name="ZoneTexte 9">
              <a:extLst>
                <a:ext uri="{FF2B5EF4-FFF2-40B4-BE49-F238E27FC236}">
                  <a16:creationId xmlns:a16="http://schemas.microsoft.com/office/drawing/2014/main" id="{1738B607-5383-4CCB-8362-2758D42E9897}"/>
                </a:ext>
              </a:extLst>
            </xdr:cNvPr>
            <xdr:cNvSpPr txBox="1"/>
          </xdr:nvSpPr>
          <xdr:spPr>
            <a:xfrm>
              <a:off x="17392650" y="7367587"/>
              <a:ext cx="1243013" cy="309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fr-FR" sz="2000" b="1" i="1">
                        <a:solidFill>
                          <a:schemeClr val="tx1"/>
                        </a:solidFill>
                        <a:effectLst/>
                        <a:latin typeface="Cambria Math" panose="02040503050406030204" pitchFamily="18" charset="0"/>
                        <a:ea typeface="+mn-ea"/>
                        <a:cs typeface="+mn-cs"/>
                      </a:rPr>
                      <m:t>𝑭</m:t>
                    </m:r>
                    <m:r>
                      <a:rPr lang="fr-FR" sz="2000" b="1" i="1">
                        <a:solidFill>
                          <a:schemeClr val="tx1"/>
                        </a:solidFill>
                        <a:effectLst/>
                        <a:latin typeface="Cambria Math" panose="02040503050406030204" pitchFamily="18" charset="0"/>
                        <a:ea typeface="+mn-ea"/>
                        <a:cs typeface="+mn-cs"/>
                      </a:rPr>
                      <m:t>=</m:t>
                    </m:r>
                    <m:r>
                      <a:rPr lang="fr-FR" sz="2000" b="1" i="1">
                        <a:solidFill>
                          <a:schemeClr val="tx1"/>
                        </a:solidFill>
                        <a:effectLst/>
                        <a:latin typeface="Cambria Math" panose="02040503050406030204" pitchFamily="18" charset="0"/>
                        <a:ea typeface="+mn-ea"/>
                        <a:cs typeface="+mn-cs"/>
                      </a:rPr>
                      <m:t>𝝈</m:t>
                    </m:r>
                    <m:r>
                      <a:rPr lang="fr-FR" sz="2000" b="1" i="1">
                        <a:solidFill>
                          <a:schemeClr val="tx1"/>
                        </a:solidFill>
                        <a:effectLst/>
                        <a:latin typeface="Cambria Math" panose="02040503050406030204" pitchFamily="18" charset="0"/>
                        <a:ea typeface="+mn-ea"/>
                        <a:cs typeface="+mn-cs"/>
                      </a:rPr>
                      <m:t>⋅</m:t>
                    </m:r>
                    <m:sSub>
                      <m:sSubPr>
                        <m:ctrlPr>
                          <a:rPr lang="fr-FR" sz="2000" b="1" i="1">
                            <a:solidFill>
                              <a:schemeClr val="tx1"/>
                            </a:solidFill>
                            <a:effectLst/>
                            <a:latin typeface="Cambria Math" panose="02040503050406030204" pitchFamily="18" charset="0"/>
                            <a:ea typeface="+mn-ea"/>
                            <a:cs typeface="+mn-cs"/>
                          </a:rPr>
                        </m:ctrlPr>
                      </m:sSubPr>
                      <m:e>
                        <m:r>
                          <a:rPr lang="fr-FR" sz="2000" b="1" i="1">
                            <a:solidFill>
                              <a:schemeClr val="tx1"/>
                            </a:solidFill>
                            <a:effectLst/>
                            <a:latin typeface="Cambria Math" panose="02040503050406030204" pitchFamily="18" charset="0"/>
                            <a:ea typeface="+mn-ea"/>
                            <a:cs typeface="+mn-cs"/>
                          </a:rPr>
                          <m:t>𝑨</m:t>
                        </m:r>
                      </m:e>
                      <m:sub>
                        <m:r>
                          <a:rPr lang="fr-FR" sz="2000" b="1" i="1">
                            <a:solidFill>
                              <a:schemeClr val="tx1"/>
                            </a:solidFill>
                            <a:effectLst/>
                            <a:latin typeface="Cambria Math" panose="02040503050406030204" pitchFamily="18" charset="0"/>
                            <a:ea typeface="+mn-ea"/>
                            <a:cs typeface="+mn-cs"/>
                          </a:rPr>
                          <m:t>𝒔</m:t>
                        </m:r>
                      </m:sub>
                    </m:sSub>
                  </m:oMath>
                </m:oMathPara>
              </a14:m>
              <a:endParaRPr lang="fr-FR" sz="2000" b="1">
                <a:solidFill>
                  <a:schemeClr val="tx1"/>
                </a:solidFill>
                <a:effectLst/>
                <a:latin typeface="+mn-lt"/>
                <a:ea typeface="+mn-ea"/>
                <a:cs typeface="+mn-cs"/>
              </a:endParaRPr>
            </a:p>
            <a:p>
              <a:endParaRPr lang="fr-FR" sz="1600"/>
            </a:p>
          </xdr:txBody>
        </xdr:sp>
      </mc:Choice>
      <mc:Fallback xmlns="">
        <xdr:sp macro="" textlink="">
          <xdr:nvSpPr>
            <xdr:cNvPr id="10" name="ZoneTexte 9">
              <a:extLst>
                <a:ext uri="{FF2B5EF4-FFF2-40B4-BE49-F238E27FC236}">
                  <a16:creationId xmlns:a16="http://schemas.microsoft.com/office/drawing/2014/main" id="{1738B607-5383-4CCB-8362-2758D42E9897}"/>
                </a:ext>
              </a:extLst>
            </xdr:cNvPr>
            <xdr:cNvSpPr txBox="1"/>
          </xdr:nvSpPr>
          <xdr:spPr>
            <a:xfrm>
              <a:off x="17392650" y="7367587"/>
              <a:ext cx="1243013" cy="309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FR" sz="2000" b="1" i="0">
                  <a:solidFill>
                    <a:schemeClr val="tx1"/>
                  </a:solidFill>
                  <a:effectLst/>
                  <a:latin typeface="Cambria Math" panose="02040503050406030204" pitchFamily="18" charset="0"/>
                  <a:ea typeface="+mn-ea"/>
                  <a:cs typeface="+mn-cs"/>
                </a:rPr>
                <a:t>𝑭=𝝈⋅𝑨_𝒔</a:t>
              </a:r>
              <a:endParaRPr lang="fr-FR" sz="2000" b="1">
                <a:solidFill>
                  <a:schemeClr val="tx1"/>
                </a:solidFill>
                <a:effectLst/>
                <a:latin typeface="+mn-lt"/>
                <a:ea typeface="+mn-ea"/>
                <a:cs typeface="+mn-cs"/>
              </a:endParaRPr>
            </a:p>
            <a:p>
              <a:endParaRPr lang="fr-FR" sz="1600"/>
            </a:p>
          </xdr:txBody>
        </xdr:sp>
      </mc:Fallback>
    </mc:AlternateContent>
    <xdr:clientData/>
  </xdr:oneCellAnchor>
  <xdr:oneCellAnchor>
    <xdr:from>
      <xdr:col>16</xdr:col>
      <xdr:colOff>42862</xdr:colOff>
      <xdr:row>34</xdr:row>
      <xdr:rowOff>109537</xdr:rowOff>
    </xdr:from>
    <xdr:ext cx="2976564" cy="280988"/>
    <mc:AlternateContent xmlns:mc="http://schemas.openxmlformats.org/markup-compatibility/2006" xmlns:a14="http://schemas.microsoft.com/office/drawing/2010/main">
      <mc:Choice Requires="a14">
        <xdr:sp macro="" textlink="">
          <xdr:nvSpPr>
            <xdr:cNvPr id="12" name="ZoneTexte 11">
              <a:extLst>
                <a:ext uri="{FF2B5EF4-FFF2-40B4-BE49-F238E27FC236}">
                  <a16:creationId xmlns:a16="http://schemas.microsoft.com/office/drawing/2014/main" id="{5F7D57E1-D7F1-43A4-89C3-77F148169A7F}"/>
                </a:ext>
              </a:extLst>
            </xdr:cNvPr>
            <xdr:cNvSpPr txBox="1"/>
          </xdr:nvSpPr>
          <xdr:spPr>
            <a:xfrm>
              <a:off x="17473612" y="8529637"/>
              <a:ext cx="2976564"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fr-FR" sz="1800" b="1" i="1">
                      <a:latin typeface="Cambria Math" panose="02040503050406030204" pitchFamily="18" charset="0"/>
                    </a:rPr>
                    <m:t>𝑨𝒔</m:t>
                  </m:r>
                  <m:r>
                    <a:rPr lang="fr-FR" sz="1800" b="1" i="1">
                      <a:latin typeface="Cambria Math" panose="02040503050406030204" pitchFamily="18" charset="0"/>
                    </a:rPr>
                    <m:t>=</m:t>
                  </m:r>
                  <m:r>
                    <a:rPr lang="fr-FR" sz="1800" b="1" i="1">
                      <a:latin typeface="Cambria Math" panose="02040503050406030204" pitchFamily="18" charset="0"/>
                    </a:rPr>
                    <m:t>𝝅</m:t>
                  </m:r>
                  <m:r>
                    <a:rPr lang="fr-FR" sz="1800" b="1" i="1">
                      <a:latin typeface="Cambria Math" panose="02040503050406030204" pitchFamily="18" charset="0"/>
                    </a:rPr>
                    <m:t>/</m:t>
                  </m:r>
                  <m:r>
                    <a:rPr lang="fr-FR" sz="1800" b="1" i="1">
                      <a:latin typeface="Cambria Math" panose="02040503050406030204" pitchFamily="18" charset="0"/>
                    </a:rPr>
                    <m:t>𝟒</m:t>
                  </m:r>
                  <m:r>
                    <a:rPr lang="fr-FR" sz="1800" b="1" i="1">
                      <a:latin typeface="Cambria Math" panose="02040503050406030204" pitchFamily="18" charset="0"/>
                    </a:rPr>
                    <m:t>(</m:t>
                  </m:r>
                  <m:r>
                    <a:rPr lang="fr-FR" sz="1800" b="1" i="1">
                      <a:latin typeface="Cambria Math" panose="02040503050406030204" pitchFamily="18" charset="0"/>
                    </a:rPr>
                    <m:t>𝒅</m:t>
                  </m:r>
                  <m:r>
                    <a:rPr lang="fr-FR" sz="1800" b="1" i="1">
                      <a:latin typeface="Cambria Math" panose="02040503050406030204" pitchFamily="18" charset="0"/>
                    </a:rPr>
                    <m:t>−</m:t>
                  </m:r>
                  <m:r>
                    <a:rPr lang="fr-FR" sz="1800" b="1" i="1">
                      <a:latin typeface="Cambria Math" panose="02040503050406030204" pitchFamily="18" charset="0"/>
                    </a:rPr>
                    <m:t>𝟎</m:t>
                  </m:r>
                  <m:r>
                    <a:rPr lang="fr-FR" sz="1800" b="1" i="1">
                      <a:latin typeface="Cambria Math" panose="02040503050406030204" pitchFamily="18" charset="0"/>
                    </a:rPr>
                    <m:t>.</m:t>
                  </m:r>
                  <m:r>
                    <a:rPr lang="fr-FR" sz="1800" b="1" i="1">
                      <a:latin typeface="Cambria Math" panose="02040503050406030204" pitchFamily="18" charset="0"/>
                    </a:rPr>
                    <m:t>𝟗𝟑𝟖𝟏𝟗𝟒</m:t>
                  </m:r>
                  <m:r>
                    <a:rPr lang="fr-FR" sz="1800" b="1" i="1">
                      <a:latin typeface="Cambria Math" panose="02040503050406030204" pitchFamily="18" charset="0"/>
                    </a:rPr>
                    <m:t>𝒑</m:t>
                  </m:r>
                  <m:r>
                    <a:rPr lang="fr-FR" sz="1800" b="1" i="1">
                      <a:latin typeface="Cambria Math" panose="02040503050406030204" pitchFamily="18" charset="0"/>
                    </a:rPr>
                    <m:t>)</m:t>
                  </m:r>
                </m:oMath>
              </a14:m>
              <a:r>
                <a:rPr lang="fr-FR" sz="1800" b="1"/>
                <a:t>²</a:t>
              </a:r>
            </a:p>
          </xdr:txBody>
        </xdr:sp>
      </mc:Choice>
      <mc:Fallback xmlns="">
        <xdr:sp macro="" textlink="">
          <xdr:nvSpPr>
            <xdr:cNvPr id="12" name="ZoneTexte 11">
              <a:extLst>
                <a:ext uri="{FF2B5EF4-FFF2-40B4-BE49-F238E27FC236}">
                  <a16:creationId xmlns:a16="http://schemas.microsoft.com/office/drawing/2014/main" id="{5F7D57E1-D7F1-43A4-89C3-77F148169A7F}"/>
                </a:ext>
              </a:extLst>
            </xdr:cNvPr>
            <xdr:cNvSpPr txBox="1"/>
          </xdr:nvSpPr>
          <xdr:spPr>
            <a:xfrm>
              <a:off x="17473612" y="8529637"/>
              <a:ext cx="2976564"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FR" sz="1800" b="1" i="0">
                  <a:latin typeface="Cambria Math" panose="02040503050406030204" pitchFamily="18" charset="0"/>
                </a:rPr>
                <a:t>𝑨𝒔=𝝅/𝟒(𝒅−𝟎.𝟗𝟑𝟖𝟏𝟗𝟒𝒑)</a:t>
              </a:r>
              <a:r>
                <a:rPr lang="fr-FR" sz="1800" b="1"/>
                <a:t>²</a:t>
              </a:r>
            </a:p>
          </xdr:txBody>
        </xdr:sp>
      </mc:Fallback>
    </mc:AlternateContent>
    <xdr:clientData/>
  </xdr:oneCellAnchor>
  <xdr:oneCellAnchor>
    <xdr:from>
      <xdr:col>2</xdr:col>
      <xdr:colOff>900111</xdr:colOff>
      <xdr:row>53</xdr:row>
      <xdr:rowOff>119063</xdr:rowOff>
    </xdr:from>
    <xdr:ext cx="1633539" cy="614362"/>
    <mc:AlternateContent xmlns:mc="http://schemas.openxmlformats.org/markup-compatibility/2006" xmlns:a14="http://schemas.microsoft.com/office/drawing/2010/main">
      <mc:Choice Requires="a14">
        <xdr:sp macro="" textlink="">
          <xdr:nvSpPr>
            <xdr:cNvPr id="16" name="ZoneTexte 15">
              <a:extLst>
                <a:ext uri="{FF2B5EF4-FFF2-40B4-BE49-F238E27FC236}">
                  <a16:creationId xmlns:a16="http://schemas.microsoft.com/office/drawing/2014/main" id="{3C1AC096-1894-4E7B-875D-B887D081D008}"/>
                </a:ext>
              </a:extLst>
            </xdr:cNvPr>
            <xdr:cNvSpPr txBox="1"/>
          </xdr:nvSpPr>
          <xdr:spPr>
            <a:xfrm>
              <a:off x="3081336" y="13054013"/>
              <a:ext cx="1633539" cy="614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fr-FR" sz="1800" i="1">
                        <a:solidFill>
                          <a:schemeClr val="tx1"/>
                        </a:solidFill>
                        <a:effectLst/>
                        <a:latin typeface="Cambria Math" panose="02040503050406030204" pitchFamily="18" charset="0"/>
                        <a:ea typeface="+mn-ea"/>
                        <a:cs typeface="+mn-cs"/>
                      </a:rPr>
                      <m:t>𝜆</m:t>
                    </m:r>
                    <m:r>
                      <a:rPr lang="fr-FR" sz="1800" i="1">
                        <a:solidFill>
                          <a:schemeClr val="tx1"/>
                        </a:solidFill>
                        <a:effectLst/>
                        <a:latin typeface="Cambria Math" panose="02040503050406030204" pitchFamily="18" charset="0"/>
                        <a:ea typeface="+mn-ea"/>
                        <a:cs typeface="+mn-cs"/>
                      </a:rPr>
                      <m:t>=</m:t>
                    </m:r>
                    <m:func>
                      <m:funcPr>
                        <m:ctrlPr>
                          <a:rPr lang="fr-FR" sz="1800" i="1">
                            <a:solidFill>
                              <a:schemeClr val="tx1"/>
                            </a:solidFill>
                            <a:effectLst/>
                            <a:latin typeface="Cambria Math" panose="02040503050406030204" pitchFamily="18" charset="0"/>
                            <a:ea typeface="+mn-ea"/>
                            <a:cs typeface="+mn-cs"/>
                          </a:rPr>
                        </m:ctrlPr>
                      </m:funcPr>
                      <m:fName>
                        <m:sSup>
                          <m:sSupPr>
                            <m:ctrlPr>
                              <a:rPr lang="fr-FR" sz="1800" i="1">
                                <a:solidFill>
                                  <a:schemeClr val="tx1"/>
                                </a:solidFill>
                                <a:effectLst/>
                                <a:latin typeface="Cambria Math" panose="02040503050406030204" pitchFamily="18" charset="0"/>
                                <a:ea typeface="+mn-ea"/>
                                <a:cs typeface="+mn-cs"/>
                              </a:rPr>
                            </m:ctrlPr>
                          </m:sSupPr>
                          <m:e>
                            <m:r>
                              <m:rPr>
                                <m:sty m:val="p"/>
                              </m:rPr>
                              <a:rPr lang="fr-FR" sz="1800">
                                <a:solidFill>
                                  <a:schemeClr val="tx1"/>
                                </a:solidFill>
                                <a:effectLst/>
                                <a:latin typeface="Cambria Math" panose="02040503050406030204" pitchFamily="18" charset="0"/>
                                <a:ea typeface="+mn-ea"/>
                                <a:cs typeface="+mn-cs"/>
                              </a:rPr>
                              <m:t>tan</m:t>
                            </m:r>
                          </m:e>
                          <m:sup>
                            <m:r>
                              <a:rPr lang="fr-FR" sz="1800" i="1">
                                <a:solidFill>
                                  <a:schemeClr val="tx1"/>
                                </a:solidFill>
                                <a:effectLst/>
                                <a:latin typeface="Cambria Math" panose="02040503050406030204" pitchFamily="18" charset="0"/>
                                <a:ea typeface="+mn-ea"/>
                                <a:cs typeface="+mn-cs"/>
                              </a:rPr>
                              <m:t>−1</m:t>
                            </m:r>
                          </m:sup>
                        </m:sSup>
                      </m:fName>
                      <m:e>
                        <m:f>
                          <m:fPr>
                            <m:ctrlPr>
                              <a:rPr lang="fr-FR" sz="1800" i="1">
                                <a:solidFill>
                                  <a:schemeClr val="tx1"/>
                                </a:solidFill>
                                <a:effectLst/>
                                <a:latin typeface="Cambria Math" panose="02040503050406030204" pitchFamily="18" charset="0"/>
                                <a:ea typeface="+mn-ea"/>
                                <a:cs typeface="+mn-cs"/>
                              </a:rPr>
                            </m:ctrlPr>
                          </m:fPr>
                          <m:num>
                            <m:r>
                              <a:rPr lang="fr-FR" sz="1800" i="1">
                                <a:solidFill>
                                  <a:schemeClr val="tx1"/>
                                </a:solidFill>
                                <a:effectLst/>
                                <a:latin typeface="Cambria Math" panose="02040503050406030204" pitchFamily="18" charset="0"/>
                                <a:ea typeface="+mn-ea"/>
                                <a:cs typeface="+mn-cs"/>
                              </a:rPr>
                              <m:t>𝑝</m:t>
                            </m:r>
                          </m:num>
                          <m:den>
                            <m:r>
                              <a:rPr lang="fr-FR" sz="1800" i="1">
                                <a:solidFill>
                                  <a:schemeClr val="tx1"/>
                                </a:solidFill>
                                <a:effectLst/>
                                <a:latin typeface="Cambria Math" panose="02040503050406030204" pitchFamily="18" charset="0"/>
                                <a:ea typeface="+mn-ea"/>
                                <a:cs typeface="+mn-cs"/>
                              </a:rPr>
                              <m:t>𝜋</m:t>
                            </m:r>
                            <m:sSub>
                              <m:sSubPr>
                                <m:ctrlPr>
                                  <a:rPr lang="fr-FR" sz="1800" i="1">
                                    <a:solidFill>
                                      <a:schemeClr val="tx1"/>
                                    </a:solidFill>
                                    <a:effectLst/>
                                    <a:latin typeface="Cambria Math" panose="02040503050406030204" pitchFamily="18" charset="0"/>
                                    <a:ea typeface="+mn-ea"/>
                                    <a:cs typeface="+mn-cs"/>
                                  </a:rPr>
                                </m:ctrlPr>
                              </m:sSubPr>
                              <m:e>
                                <m:r>
                                  <a:rPr lang="fr-FR" sz="1800" i="1">
                                    <a:solidFill>
                                      <a:schemeClr val="tx1"/>
                                    </a:solidFill>
                                    <a:effectLst/>
                                    <a:latin typeface="Cambria Math" panose="02040503050406030204" pitchFamily="18" charset="0"/>
                                    <a:ea typeface="+mn-ea"/>
                                    <a:cs typeface="+mn-cs"/>
                                  </a:rPr>
                                  <m:t>𝑑</m:t>
                                </m:r>
                              </m:e>
                              <m:sub>
                                <m:r>
                                  <a:rPr lang="fr-FR" sz="1800" i="1">
                                    <a:solidFill>
                                      <a:schemeClr val="tx1"/>
                                    </a:solidFill>
                                    <a:effectLst/>
                                    <a:latin typeface="Cambria Math" panose="02040503050406030204" pitchFamily="18" charset="0"/>
                                    <a:ea typeface="+mn-ea"/>
                                    <a:cs typeface="+mn-cs"/>
                                  </a:rPr>
                                  <m:t>𝑚</m:t>
                                </m:r>
                              </m:sub>
                            </m:sSub>
                          </m:den>
                        </m:f>
                      </m:e>
                    </m:func>
                  </m:oMath>
                </m:oMathPara>
              </a14:m>
              <a:endParaRPr lang="fr-FR" sz="16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600">
                <a:solidFill>
                  <a:schemeClr val="tx1"/>
                </a:solidFill>
                <a:effectLst/>
                <a:latin typeface="+mn-lt"/>
                <a:ea typeface="+mn-ea"/>
                <a:cs typeface="+mn-cs"/>
              </a:endParaRPr>
            </a:p>
            <a:p>
              <a:endParaRPr lang="fr-FR" sz="1600"/>
            </a:p>
          </xdr:txBody>
        </xdr:sp>
      </mc:Choice>
      <mc:Fallback xmlns="">
        <xdr:sp macro="" textlink="">
          <xdr:nvSpPr>
            <xdr:cNvPr id="16" name="ZoneTexte 15">
              <a:extLst>
                <a:ext uri="{FF2B5EF4-FFF2-40B4-BE49-F238E27FC236}">
                  <a16:creationId xmlns:a16="http://schemas.microsoft.com/office/drawing/2014/main" id="{3C1AC096-1894-4E7B-875D-B887D081D008}"/>
                </a:ext>
              </a:extLst>
            </xdr:cNvPr>
            <xdr:cNvSpPr txBox="1"/>
          </xdr:nvSpPr>
          <xdr:spPr>
            <a:xfrm>
              <a:off x="3081336" y="13054013"/>
              <a:ext cx="1633539" cy="614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FR" sz="1800" i="0">
                  <a:solidFill>
                    <a:schemeClr val="tx1"/>
                  </a:solidFill>
                  <a:effectLst/>
                  <a:latin typeface="+mn-lt"/>
                  <a:ea typeface="+mn-ea"/>
                  <a:cs typeface="+mn-cs"/>
                </a:rPr>
                <a:t>𝜆=tan^(−1)⁡〖𝑝/(𝜋𝑑_𝑚 )〗</a:t>
              </a:r>
              <a:endParaRPr lang="fr-FR" sz="16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600">
                <a:solidFill>
                  <a:schemeClr val="tx1"/>
                </a:solidFill>
                <a:effectLst/>
                <a:latin typeface="+mn-lt"/>
                <a:ea typeface="+mn-ea"/>
                <a:cs typeface="+mn-cs"/>
              </a:endParaRPr>
            </a:p>
            <a:p>
              <a:endParaRPr lang="fr-FR" sz="1600"/>
            </a:p>
          </xdr:txBody>
        </xdr:sp>
      </mc:Fallback>
    </mc:AlternateContent>
    <xdr:clientData/>
  </xdr:oneCellAnchor>
  <xdr:oneCellAnchor>
    <xdr:from>
      <xdr:col>10</xdr:col>
      <xdr:colOff>261937</xdr:colOff>
      <xdr:row>56</xdr:row>
      <xdr:rowOff>14288</xdr:rowOff>
    </xdr:from>
    <xdr:ext cx="1538288" cy="833438"/>
    <mc:AlternateContent xmlns:mc="http://schemas.openxmlformats.org/markup-compatibility/2006" xmlns:a14="http://schemas.microsoft.com/office/drawing/2010/main">
      <mc:Choice Requires="a14">
        <xdr:sp macro="" textlink="">
          <xdr:nvSpPr>
            <xdr:cNvPr id="17" name="ZoneTexte 16">
              <a:extLst>
                <a:ext uri="{FF2B5EF4-FFF2-40B4-BE49-F238E27FC236}">
                  <a16:creationId xmlns:a16="http://schemas.microsoft.com/office/drawing/2014/main" id="{3F560EF4-284D-4621-9EB3-1DC3DAE19EC1}"/>
                </a:ext>
              </a:extLst>
            </xdr:cNvPr>
            <xdr:cNvSpPr txBox="1"/>
          </xdr:nvSpPr>
          <xdr:spPr>
            <a:xfrm>
              <a:off x="11749087" y="13673138"/>
              <a:ext cx="1538288" cy="833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fr-FR" sz="2000" b="0" i="1">
                        <a:solidFill>
                          <a:schemeClr val="tx1"/>
                        </a:solidFill>
                        <a:effectLst/>
                        <a:latin typeface="Cambria Math" panose="02040503050406030204" pitchFamily="18" charset="0"/>
                        <a:ea typeface="+mn-ea"/>
                        <a:cs typeface="+mn-cs"/>
                      </a:rPr>
                      <m:t>𝐹</m:t>
                    </m:r>
                    <m:r>
                      <a:rPr lang="fr-FR" sz="2000" i="1">
                        <a:solidFill>
                          <a:schemeClr val="tx1"/>
                        </a:solidFill>
                        <a:effectLst/>
                        <a:latin typeface="Cambria Math" panose="02040503050406030204" pitchFamily="18" charset="0"/>
                        <a:ea typeface="+mn-ea"/>
                        <a:cs typeface="+mn-cs"/>
                      </a:rPr>
                      <m:t>=</m:t>
                    </m:r>
                    <m:f>
                      <m:fPr>
                        <m:ctrlPr>
                          <a:rPr lang="fr-FR" sz="2000" i="1">
                            <a:solidFill>
                              <a:schemeClr val="tx1"/>
                            </a:solidFill>
                            <a:effectLst/>
                            <a:latin typeface="Cambria Math" panose="02040503050406030204" pitchFamily="18" charset="0"/>
                            <a:ea typeface="+mn-ea"/>
                            <a:cs typeface="+mn-cs"/>
                          </a:rPr>
                        </m:ctrlPr>
                      </m:fPr>
                      <m:num>
                        <m:r>
                          <a:rPr lang="fr-FR" sz="2000" b="0" i="1">
                            <a:solidFill>
                              <a:schemeClr val="tx1"/>
                            </a:solidFill>
                            <a:effectLst/>
                            <a:latin typeface="Cambria Math" panose="02040503050406030204" pitchFamily="18" charset="0"/>
                            <a:ea typeface="+mn-ea"/>
                            <a:cs typeface="+mn-cs"/>
                          </a:rPr>
                          <m:t>𝐶</m:t>
                        </m:r>
                        <m:r>
                          <a:rPr lang="fr-FR" sz="2000" b="0" i="1">
                            <a:solidFill>
                              <a:schemeClr val="tx1"/>
                            </a:solidFill>
                            <a:effectLst/>
                            <a:latin typeface="Cambria Math" panose="02040503050406030204" pitchFamily="18" charset="0"/>
                            <a:ea typeface="+mn-ea"/>
                            <a:cs typeface="+mn-cs"/>
                          </a:rPr>
                          <m:t>.2</m:t>
                        </m:r>
                        <m:r>
                          <m:rPr>
                            <m:sty m:val="p"/>
                          </m:rPr>
                          <a:rPr lang="el-GR" sz="2000" b="0" i="1">
                            <a:solidFill>
                              <a:schemeClr val="tx1"/>
                            </a:solidFill>
                            <a:effectLst/>
                            <a:latin typeface="Cambria Math" panose="02040503050406030204" pitchFamily="18" charset="0"/>
                            <a:ea typeface="+mn-ea"/>
                            <a:cs typeface="+mn-cs"/>
                          </a:rPr>
                          <m:t>π</m:t>
                        </m:r>
                      </m:num>
                      <m:den>
                        <m:r>
                          <a:rPr lang="fr-FR" sz="2000" b="0" i="1">
                            <a:solidFill>
                              <a:schemeClr val="tx1"/>
                            </a:solidFill>
                            <a:effectLst/>
                            <a:latin typeface="Cambria Math" panose="02040503050406030204" pitchFamily="18" charset="0"/>
                            <a:ea typeface="+mn-ea"/>
                            <a:cs typeface="+mn-cs"/>
                          </a:rPr>
                          <m:t>𝑝</m:t>
                        </m:r>
                      </m:den>
                    </m:f>
                    <m:r>
                      <a:rPr lang="fr-FR" sz="2000" b="0" i="1">
                        <a:solidFill>
                          <a:schemeClr val="tx1"/>
                        </a:solidFill>
                        <a:effectLst/>
                        <a:latin typeface="Cambria Math" panose="02040503050406030204" pitchFamily="18" charset="0"/>
                        <a:ea typeface="+mn-ea"/>
                        <a:cs typeface="+mn-cs"/>
                      </a:rPr>
                      <m:t> </m:t>
                    </m:r>
                  </m:oMath>
                </m:oMathPara>
              </a14:m>
              <a:endParaRPr lang="fr-FR" sz="2000">
                <a:solidFill>
                  <a:schemeClr val="tx1"/>
                </a:solidFill>
                <a:effectLst/>
                <a:latin typeface="+mn-lt"/>
                <a:ea typeface="+mn-ea"/>
                <a:cs typeface="+mn-cs"/>
              </a:endParaRPr>
            </a:p>
            <a:p>
              <a:endParaRPr lang="fr-FR" sz="2000"/>
            </a:p>
          </xdr:txBody>
        </xdr:sp>
      </mc:Choice>
      <mc:Fallback xmlns="">
        <xdr:sp macro="" textlink="">
          <xdr:nvSpPr>
            <xdr:cNvPr id="17" name="ZoneTexte 16">
              <a:extLst>
                <a:ext uri="{FF2B5EF4-FFF2-40B4-BE49-F238E27FC236}">
                  <a16:creationId xmlns:a16="http://schemas.microsoft.com/office/drawing/2014/main" id="{3F560EF4-284D-4621-9EB3-1DC3DAE19EC1}"/>
                </a:ext>
              </a:extLst>
            </xdr:cNvPr>
            <xdr:cNvSpPr txBox="1"/>
          </xdr:nvSpPr>
          <xdr:spPr>
            <a:xfrm>
              <a:off x="11749087" y="13673138"/>
              <a:ext cx="1538288" cy="833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FR" sz="2000" b="0" i="0">
                  <a:solidFill>
                    <a:schemeClr val="tx1"/>
                  </a:solidFill>
                  <a:effectLst/>
                  <a:latin typeface="Cambria Math" panose="02040503050406030204" pitchFamily="18" charset="0"/>
                  <a:ea typeface="+mn-ea"/>
                  <a:cs typeface="+mn-cs"/>
                </a:rPr>
                <a:t>𝐹</a:t>
              </a:r>
              <a:r>
                <a:rPr lang="fr-FR" sz="2000" i="0">
                  <a:solidFill>
                    <a:schemeClr val="tx1"/>
                  </a:solidFill>
                  <a:effectLst/>
                  <a:latin typeface="+mn-lt"/>
                  <a:ea typeface="+mn-ea"/>
                  <a:cs typeface="+mn-cs"/>
                </a:rPr>
                <a:t>=(</a:t>
              </a:r>
              <a:r>
                <a:rPr lang="fr-FR" sz="2000" b="0" i="0">
                  <a:solidFill>
                    <a:schemeClr val="tx1"/>
                  </a:solidFill>
                  <a:effectLst/>
                  <a:latin typeface="Cambria Math" panose="02040503050406030204" pitchFamily="18" charset="0"/>
                  <a:ea typeface="+mn-ea"/>
                  <a:cs typeface="+mn-cs"/>
                </a:rPr>
                <a:t>𝐶.2</a:t>
              </a:r>
              <a:r>
                <a:rPr lang="el-GR" sz="2000" b="0" i="0">
                  <a:solidFill>
                    <a:schemeClr val="tx1"/>
                  </a:solidFill>
                  <a:effectLst/>
                  <a:latin typeface="Cambria Math" panose="02040503050406030204" pitchFamily="18" charset="0"/>
                  <a:ea typeface="+mn-ea"/>
                  <a:cs typeface="+mn-cs"/>
                </a:rPr>
                <a:t>π</a:t>
              </a:r>
              <a:r>
                <a:rPr lang="fr-FR" sz="2000" b="0" i="0">
                  <a:solidFill>
                    <a:schemeClr val="tx1"/>
                  </a:solidFill>
                  <a:effectLst/>
                  <a:latin typeface="+mn-lt"/>
                  <a:ea typeface="+mn-ea"/>
                  <a:cs typeface="+mn-cs"/>
                </a:rPr>
                <a:t>)/</a:t>
              </a:r>
              <a:r>
                <a:rPr lang="fr-FR" sz="2000" b="0" i="0">
                  <a:solidFill>
                    <a:schemeClr val="tx1"/>
                  </a:solidFill>
                  <a:effectLst/>
                  <a:latin typeface="Cambria Math" panose="02040503050406030204" pitchFamily="18" charset="0"/>
                  <a:ea typeface="+mn-ea"/>
                  <a:cs typeface="+mn-cs"/>
                </a:rPr>
                <a:t>𝑝  </a:t>
              </a:r>
              <a:endParaRPr lang="fr-FR" sz="2000">
                <a:solidFill>
                  <a:schemeClr val="tx1"/>
                </a:solidFill>
                <a:effectLst/>
                <a:latin typeface="+mn-lt"/>
                <a:ea typeface="+mn-ea"/>
                <a:cs typeface="+mn-cs"/>
              </a:endParaRPr>
            </a:p>
            <a:p>
              <a:endParaRPr lang="fr-FR" sz="2000"/>
            </a:p>
          </xdr:txBody>
        </xdr:sp>
      </mc:Fallback>
    </mc:AlternateContent>
    <xdr:clientData/>
  </xdr:oneCellAnchor>
  <xdr:oneCellAnchor>
    <xdr:from>
      <xdr:col>11</xdr:col>
      <xdr:colOff>490537</xdr:colOff>
      <xdr:row>59</xdr:row>
      <xdr:rowOff>90487</xdr:rowOff>
    </xdr:from>
    <xdr:ext cx="2385974" cy="636264"/>
    <mc:AlternateContent xmlns:mc="http://schemas.openxmlformats.org/markup-compatibility/2006" xmlns:a14="http://schemas.microsoft.com/office/drawing/2010/main">
      <mc:Choice Requires="a14">
        <xdr:sp macro="" textlink="">
          <xdr:nvSpPr>
            <xdr:cNvPr id="18" name="ZoneTexte 17">
              <a:extLst>
                <a:ext uri="{FF2B5EF4-FFF2-40B4-BE49-F238E27FC236}">
                  <a16:creationId xmlns:a16="http://schemas.microsoft.com/office/drawing/2014/main" id="{46A752EC-5314-4CEC-AB17-B7C4FAC16F33}"/>
                </a:ext>
              </a:extLst>
            </xdr:cNvPr>
            <xdr:cNvSpPr txBox="1"/>
          </xdr:nvSpPr>
          <xdr:spPr>
            <a:xfrm>
              <a:off x="12968287" y="14473237"/>
              <a:ext cx="2385974" cy="636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2000" i="1">
                        <a:solidFill>
                          <a:schemeClr val="tx1"/>
                        </a:solidFill>
                        <a:effectLst/>
                        <a:latin typeface="Cambria Math" panose="02040503050406030204" pitchFamily="18" charset="0"/>
                        <a:ea typeface="+mn-ea"/>
                        <a:cs typeface="+mn-cs"/>
                      </a:rPr>
                      <m:t>𝐹</m:t>
                    </m:r>
                    <m:r>
                      <a:rPr lang="fr-FR" sz="2000" i="1">
                        <a:solidFill>
                          <a:schemeClr val="tx1"/>
                        </a:solidFill>
                        <a:effectLst/>
                        <a:latin typeface="Cambria Math" panose="02040503050406030204" pitchFamily="18" charset="0"/>
                        <a:ea typeface="+mn-ea"/>
                        <a:cs typeface="+mn-cs"/>
                      </a:rPr>
                      <m:t>=</m:t>
                    </m:r>
                    <m:f>
                      <m:fPr>
                        <m:ctrlPr>
                          <a:rPr lang="fr-FR" sz="2000" i="1">
                            <a:solidFill>
                              <a:schemeClr val="tx1"/>
                            </a:solidFill>
                            <a:effectLst/>
                            <a:latin typeface="Cambria Math" panose="02040503050406030204" pitchFamily="18" charset="0"/>
                            <a:ea typeface="+mn-ea"/>
                            <a:cs typeface="+mn-cs"/>
                          </a:rPr>
                        </m:ctrlPr>
                      </m:fPr>
                      <m:num>
                        <m:r>
                          <a:rPr lang="fr-FR" sz="2000" i="1">
                            <a:solidFill>
                              <a:schemeClr val="tx1"/>
                            </a:solidFill>
                            <a:effectLst/>
                            <a:latin typeface="Cambria Math" panose="02040503050406030204" pitchFamily="18" charset="0"/>
                            <a:ea typeface="+mn-ea"/>
                            <a:cs typeface="+mn-cs"/>
                          </a:rPr>
                          <m:t>2</m:t>
                        </m:r>
                        <m:r>
                          <a:rPr lang="fr-FR" sz="2000" b="0" i="1">
                            <a:solidFill>
                              <a:schemeClr val="tx1"/>
                            </a:solidFill>
                            <a:effectLst/>
                            <a:latin typeface="Cambria Math" panose="02040503050406030204" pitchFamily="18" charset="0"/>
                            <a:ea typeface="+mn-ea"/>
                            <a:cs typeface="+mn-cs"/>
                          </a:rPr>
                          <m:t>.</m:t>
                        </m:r>
                        <m:r>
                          <a:rPr lang="fr-FR" sz="2000" b="0" i="1">
                            <a:solidFill>
                              <a:schemeClr val="tx1"/>
                            </a:solidFill>
                            <a:effectLst/>
                            <a:latin typeface="Cambria Math" panose="02040503050406030204" pitchFamily="18" charset="0"/>
                            <a:ea typeface="+mn-ea"/>
                            <a:cs typeface="+mn-cs"/>
                          </a:rPr>
                          <m:t>𝐶</m:t>
                        </m:r>
                      </m:num>
                      <m:den>
                        <m:sSub>
                          <m:sSubPr>
                            <m:ctrlPr>
                              <a:rPr lang="fr-FR" sz="2000" i="1">
                                <a:solidFill>
                                  <a:schemeClr val="tx1"/>
                                </a:solidFill>
                                <a:effectLst/>
                                <a:latin typeface="Cambria Math" panose="02040503050406030204" pitchFamily="18" charset="0"/>
                                <a:ea typeface="+mn-ea"/>
                                <a:cs typeface="+mn-cs"/>
                              </a:rPr>
                            </m:ctrlPr>
                          </m:sSubPr>
                          <m:e>
                            <m:r>
                              <a:rPr lang="fr-FR" sz="2000" i="1">
                                <a:solidFill>
                                  <a:schemeClr val="tx1"/>
                                </a:solidFill>
                                <a:effectLst/>
                                <a:latin typeface="Cambria Math" panose="02040503050406030204" pitchFamily="18" charset="0"/>
                                <a:ea typeface="+mn-ea"/>
                                <a:cs typeface="+mn-cs"/>
                              </a:rPr>
                              <m:t>𝑑</m:t>
                            </m:r>
                          </m:e>
                          <m:sub>
                            <m:r>
                              <a:rPr lang="fr-FR" sz="2000" i="1">
                                <a:solidFill>
                                  <a:schemeClr val="tx1"/>
                                </a:solidFill>
                                <a:effectLst/>
                                <a:latin typeface="Cambria Math" panose="02040503050406030204" pitchFamily="18" charset="0"/>
                                <a:ea typeface="+mn-ea"/>
                                <a:cs typeface="+mn-cs"/>
                              </a:rPr>
                              <m:t>𝑚</m:t>
                            </m:r>
                          </m:sub>
                        </m:sSub>
                      </m:den>
                    </m:f>
                    <m:r>
                      <a:rPr lang="fr-FR" sz="2000" i="1">
                        <a:solidFill>
                          <a:schemeClr val="tx1"/>
                        </a:solidFill>
                        <a:effectLst/>
                        <a:latin typeface="Cambria Math" panose="02040503050406030204" pitchFamily="18" charset="0"/>
                        <a:ea typeface="+mn-ea"/>
                        <a:cs typeface="+mn-cs"/>
                      </a:rPr>
                      <m:t>⋅</m:t>
                    </m:r>
                    <m:f>
                      <m:fPr>
                        <m:ctrlPr>
                          <a:rPr lang="fr-FR" sz="2000" i="1">
                            <a:solidFill>
                              <a:schemeClr val="tx1"/>
                            </a:solidFill>
                            <a:effectLst/>
                            <a:latin typeface="Cambria Math" panose="02040503050406030204" pitchFamily="18" charset="0"/>
                            <a:ea typeface="+mn-ea"/>
                            <a:cs typeface="+mn-cs"/>
                          </a:rPr>
                        </m:ctrlPr>
                      </m:fPr>
                      <m:num>
                        <m:r>
                          <a:rPr lang="fr-FR" sz="2000" i="1">
                            <a:solidFill>
                              <a:schemeClr val="tx1"/>
                            </a:solidFill>
                            <a:effectLst/>
                            <a:latin typeface="Cambria Math" panose="02040503050406030204" pitchFamily="18" charset="0"/>
                            <a:ea typeface="+mn-ea"/>
                            <a:cs typeface="+mn-cs"/>
                          </a:rPr>
                          <m:t>1−</m:t>
                        </m:r>
                        <m:r>
                          <a:rPr lang="fr-FR" sz="2000" i="1">
                            <a:solidFill>
                              <a:schemeClr val="tx1"/>
                            </a:solidFill>
                            <a:effectLst/>
                            <a:latin typeface="Cambria Math" panose="02040503050406030204" pitchFamily="18" charset="0"/>
                            <a:ea typeface="+mn-ea"/>
                            <a:cs typeface="+mn-cs"/>
                          </a:rPr>
                          <m:t>𝜇</m:t>
                        </m:r>
                        <m:r>
                          <a:rPr lang="fr-FR" sz="2000" b="0" i="0">
                            <a:solidFill>
                              <a:schemeClr val="tx1"/>
                            </a:solidFill>
                            <a:effectLst/>
                            <a:latin typeface="Cambria Math" panose="02040503050406030204" pitchFamily="18" charset="0"/>
                            <a:ea typeface="+mn-ea"/>
                            <a:cs typeface="+mn-cs"/>
                          </a:rPr>
                          <m:t>.</m:t>
                        </m:r>
                        <m:r>
                          <m:rPr>
                            <m:sty m:val="p"/>
                          </m:rPr>
                          <a:rPr lang="fr-FR" sz="2000">
                            <a:solidFill>
                              <a:schemeClr val="tx1"/>
                            </a:solidFill>
                            <a:effectLst/>
                            <a:latin typeface="Cambria Math" panose="02040503050406030204" pitchFamily="18" charset="0"/>
                            <a:ea typeface="+mn-ea"/>
                            <a:cs typeface="+mn-cs"/>
                          </a:rPr>
                          <m:t>tan</m:t>
                        </m:r>
                        <m:r>
                          <a:rPr lang="fr-FR" sz="2000" b="0" i="1">
                            <a:solidFill>
                              <a:schemeClr val="tx1"/>
                            </a:solidFill>
                            <a:effectLst/>
                            <a:latin typeface="Cambria Math" panose="02040503050406030204" pitchFamily="18" charset="0"/>
                            <a:ea typeface="+mn-ea"/>
                            <a:cs typeface="+mn-cs"/>
                          </a:rPr>
                          <m:t> </m:t>
                        </m:r>
                        <m:r>
                          <a:rPr lang="fr-FR" sz="2000" i="1">
                            <a:solidFill>
                              <a:schemeClr val="tx1"/>
                            </a:solidFill>
                            <a:effectLst/>
                            <a:latin typeface="Cambria Math" panose="02040503050406030204" pitchFamily="18" charset="0"/>
                            <a:ea typeface="+mn-ea"/>
                            <a:cs typeface="+mn-cs"/>
                          </a:rPr>
                          <m:t>𝜆</m:t>
                        </m:r>
                      </m:num>
                      <m:den>
                        <m:r>
                          <m:rPr>
                            <m:sty m:val="p"/>
                          </m:rPr>
                          <a:rPr lang="fr-FR" sz="2000">
                            <a:solidFill>
                              <a:schemeClr val="tx1"/>
                            </a:solidFill>
                            <a:effectLst/>
                            <a:latin typeface="Cambria Math" panose="02040503050406030204" pitchFamily="18" charset="0"/>
                            <a:ea typeface="+mn-ea"/>
                            <a:cs typeface="+mn-cs"/>
                          </a:rPr>
                          <m:t>tan</m:t>
                        </m:r>
                        <m:r>
                          <a:rPr lang="fr-FR" sz="2000" b="0" i="1">
                            <a:solidFill>
                              <a:schemeClr val="tx1"/>
                            </a:solidFill>
                            <a:effectLst/>
                            <a:latin typeface="Cambria Math" panose="02040503050406030204" pitchFamily="18" charset="0"/>
                            <a:ea typeface="+mn-ea"/>
                            <a:cs typeface="+mn-cs"/>
                          </a:rPr>
                          <m:t> </m:t>
                        </m:r>
                        <m:r>
                          <a:rPr lang="fr-FR" sz="2000" i="1">
                            <a:solidFill>
                              <a:schemeClr val="tx1"/>
                            </a:solidFill>
                            <a:effectLst/>
                            <a:latin typeface="Cambria Math" panose="02040503050406030204" pitchFamily="18" charset="0"/>
                            <a:ea typeface="+mn-ea"/>
                            <a:cs typeface="+mn-cs"/>
                          </a:rPr>
                          <m:t>𝜆</m:t>
                        </m:r>
                        <m:r>
                          <a:rPr lang="fr-FR" sz="2000" i="1">
                            <a:solidFill>
                              <a:schemeClr val="tx1"/>
                            </a:solidFill>
                            <a:effectLst/>
                            <a:latin typeface="Cambria Math" panose="02040503050406030204" pitchFamily="18" charset="0"/>
                            <a:ea typeface="+mn-ea"/>
                            <a:cs typeface="+mn-cs"/>
                          </a:rPr>
                          <m:t>+</m:t>
                        </m:r>
                        <m:r>
                          <a:rPr lang="fr-FR" sz="2000" i="1">
                            <a:solidFill>
                              <a:schemeClr val="tx1"/>
                            </a:solidFill>
                            <a:effectLst/>
                            <a:latin typeface="Cambria Math" panose="02040503050406030204" pitchFamily="18" charset="0"/>
                            <a:ea typeface="+mn-ea"/>
                            <a:cs typeface="+mn-cs"/>
                          </a:rPr>
                          <m:t>𝜇</m:t>
                        </m:r>
                      </m:den>
                    </m:f>
                  </m:oMath>
                </m:oMathPara>
              </a14:m>
              <a:endParaRPr lang="fr-FR" sz="2000"/>
            </a:p>
          </xdr:txBody>
        </xdr:sp>
      </mc:Choice>
      <mc:Fallback xmlns="">
        <xdr:sp macro="" textlink="">
          <xdr:nvSpPr>
            <xdr:cNvPr id="18" name="ZoneTexte 17">
              <a:extLst>
                <a:ext uri="{FF2B5EF4-FFF2-40B4-BE49-F238E27FC236}">
                  <a16:creationId xmlns:a16="http://schemas.microsoft.com/office/drawing/2014/main" id="{46A752EC-5314-4CEC-AB17-B7C4FAC16F33}"/>
                </a:ext>
              </a:extLst>
            </xdr:cNvPr>
            <xdr:cNvSpPr txBox="1"/>
          </xdr:nvSpPr>
          <xdr:spPr>
            <a:xfrm>
              <a:off x="12968287" y="14473237"/>
              <a:ext cx="2385974" cy="636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2000" i="0">
                  <a:solidFill>
                    <a:schemeClr val="tx1"/>
                  </a:solidFill>
                  <a:effectLst/>
                  <a:latin typeface="+mn-lt"/>
                  <a:ea typeface="+mn-ea"/>
                  <a:cs typeface="+mn-cs"/>
                </a:rPr>
                <a:t>𝐹=(2</a:t>
              </a:r>
              <a:r>
                <a:rPr lang="fr-FR" sz="2000" b="0" i="0">
                  <a:solidFill>
                    <a:schemeClr val="tx1"/>
                  </a:solidFill>
                  <a:effectLst/>
                  <a:latin typeface="Cambria Math" panose="02040503050406030204" pitchFamily="18" charset="0"/>
                  <a:ea typeface="+mn-ea"/>
                  <a:cs typeface="+mn-cs"/>
                </a:rPr>
                <a:t>.𝐶</a:t>
              </a:r>
              <a:r>
                <a:rPr lang="fr-FR" sz="2000" b="0" i="0">
                  <a:solidFill>
                    <a:schemeClr val="tx1"/>
                  </a:solidFill>
                  <a:effectLst/>
                  <a:latin typeface="+mn-lt"/>
                  <a:ea typeface="+mn-ea"/>
                  <a:cs typeface="+mn-cs"/>
                </a:rPr>
                <a:t>)/</a:t>
              </a:r>
              <a:r>
                <a:rPr lang="fr-FR" sz="2000" i="0">
                  <a:solidFill>
                    <a:schemeClr val="tx1"/>
                  </a:solidFill>
                  <a:effectLst/>
                  <a:latin typeface="+mn-lt"/>
                  <a:ea typeface="+mn-ea"/>
                  <a:cs typeface="+mn-cs"/>
                </a:rPr>
                <a:t>𝑑_𝑚 ⋅(1−𝜇</a:t>
              </a:r>
              <a:r>
                <a:rPr lang="fr-FR" sz="2000" b="0" i="0">
                  <a:solidFill>
                    <a:schemeClr val="tx1"/>
                  </a:solidFill>
                  <a:effectLst/>
                  <a:latin typeface="Cambria Math" panose="02040503050406030204" pitchFamily="18" charset="0"/>
                  <a:ea typeface="+mn-ea"/>
                  <a:cs typeface="+mn-cs"/>
                </a:rPr>
                <a:t>.</a:t>
              </a:r>
              <a:r>
                <a:rPr lang="fr-FR" sz="2000" i="0">
                  <a:solidFill>
                    <a:schemeClr val="tx1"/>
                  </a:solidFill>
                  <a:effectLst/>
                  <a:latin typeface="+mn-lt"/>
                  <a:ea typeface="+mn-ea"/>
                  <a:cs typeface="+mn-cs"/>
                </a:rPr>
                <a:t>tan</a:t>
              </a:r>
              <a:r>
                <a:rPr lang="fr-FR" sz="2000" b="0" i="0">
                  <a:solidFill>
                    <a:schemeClr val="tx1"/>
                  </a:solidFill>
                  <a:effectLst/>
                  <a:latin typeface="Cambria Math" panose="02040503050406030204" pitchFamily="18" charset="0"/>
                  <a:ea typeface="+mn-ea"/>
                  <a:cs typeface="+mn-cs"/>
                </a:rPr>
                <a:t> </a:t>
              </a:r>
              <a:r>
                <a:rPr lang="fr-FR" sz="2000" i="0">
                  <a:solidFill>
                    <a:schemeClr val="tx1"/>
                  </a:solidFill>
                  <a:effectLst/>
                  <a:latin typeface="+mn-lt"/>
                  <a:ea typeface="+mn-ea"/>
                  <a:cs typeface="+mn-cs"/>
                </a:rPr>
                <a:t>𝜆)/(tan</a:t>
              </a:r>
              <a:r>
                <a:rPr lang="fr-FR" sz="2000" b="0" i="0">
                  <a:solidFill>
                    <a:schemeClr val="tx1"/>
                  </a:solidFill>
                  <a:effectLst/>
                  <a:latin typeface="Cambria Math" panose="02040503050406030204" pitchFamily="18" charset="0"/>
                  <a:ea typeface="+mn-ea"/>
                  <a:cs typeface="+mn-cs"/>
                </a:rPr>
                <a:t> </a:t>
              </a:r>
              <a:r>
                <a:rPr lang="fr-FR" sz="2000" i="0">
                  <a:solidFill>
                    <a:schemeClr val="tx1"/>
                  </a:solidFill>
                  <a:effectLst/>
                  <a:latin typeface="+mn-lt"/>
                  <a:ea typeface="+mn-ea"/>
                  <a:cs typeface="+mn-cs"/>
                </a:rPr>
                <a:t>𝜆+𝜇)</a:t>
              </a:r>
              <a:endParaRPr lang="fr-FR" sz="2000"/>
            </a:p>
          </xdr:txBody>
        </xdr:sp>
      </mc:Fallback>
    </mc:AlternateContent>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3CFC-12FD-4781-9F79-06424BA85C9A}">
  <dimension ref="B1:U66"/>
  <sheetViews>
    <sheetView tabSelected="1" zoomScaleNormal="100" workbookViewId="0">
      <selection activeCell="F27" sqref="F27"/>
    </sheetView>
  </sheetViews>
  <sheetFormatPr baseColWidth="10" defaultRowHeight="15" x14ac:dyDescent="0.25"/>
  <cols>
    <col min="2" max="2" width="23.140625" customWidth="1"/>
    <col min="3" max="3" width="15.5703125" customWidth="1"/>
    <col min="4" max="4" width="29.28515625" customWidth="1"/>
    <col min="5" max="5" width="27.85546875" customWidth="1"/>
    <col min="6" max="6" width="22.7109375" customWidth="1"/>
    <col min="7" max="7" width="19.28515625" customWidth="1"/>
    <col min="8" max="8" width="20.140625" customWidth="1"/>
    <col min="9" max="9" width="21.42578125" customWidth="1"/>
    <col min="10" max="10" width="20.5703125" customWidth="1"/>
    <col min="11" max="11" width="15.85546875" customWidth="1"/>
    <col min="12" max="13" width="14.85546875" customWidth="1"/>
    <col min="14" max="14" width="17.85546875" customWidth="1"/>
    <col min="15" max="15" width="31.5703125" customWidth="1"/>
    <col min="16" max="16" width="19.7109375" bestFit="1" customWidth="1"/>
    <col min="17" max="17" width="22" customWidth="1"/>
    <col min="20" max="20" width="12.5703125" customWidth="1"/>
  </cols>
  <sheetData>
    <row r="1" spans="2:21" ht="29.25" thickBot="1" x14ac:dyDescent="0.3">
      <c r="B1" s="74" t="s">
        <v>59</v>
      </c>
      <c r="J1" s="53" t="s">
        <v>11</v>
      </c>
      <c r="K1" s="54"/>
      <c r="L1" s="54"/>
      <c r="M1" s="55"/>
    </row>
    <row r="2" spans="2:21" ht="27" thickBot="1" x14ac:dyDescent="0.45">
      <c r="O2" s="70" t="s">
        <v>51</v>
      </c>
    </row>
    <row r="3" spans="2:21" ht="24" thickBot="1" x14ac:dyDescent="0.4">
      <c r="B3" s="56" t="s">
        <v>60</v>
      </c>
      <c r="C3" s="57"/>
      <c r="D3" s="57"/>
      <c r="E3" s="57"/>
      <c r="F3" s="57"/>
      <c r="G3" s="57"/>
      <c r="H3" s="57"/>
      <c r="I3" s="58"/>
      <c r="J3" s="108"/>
      <c r="K3" s="12" t="s">
        <v>23</v>
      </c>
    </row>
    <row r="4" spans="2:21" ht="23.25" customHeight="1" thickBot="1" x14ac:dyDescent="0.4">
      <c r="B4" s="98"/>
      <c r="C4" s="98"/>
      <c r="E4" s="72"/>
      <c r="F4" s="72"/>
      <c r="G4" s="72"/>
      <c r="H4" s="72"/>
      <c r="I4" s="72"/>
      <c r="J4" s="72"/>
      <c r="K4" s="72"/>
      <c r="L4" s="72"/>
      <c r="M4" s="72"/>
      <c r="N4" s="72"/>
      <c r="O4" s="60" t="s">
        <v>56</v>
      </c>
      <c r="P4" s="61"/>
      <c r="Q4" s="73">
        <v>0.11</v>
      </c>
      <c r="R4" s="17"/>
      <c r="S4" s="17"/>
      <c r="T4" s="17"/>
      <c r="U4" s="17"/>
    </row>
    <row r="5" spans="2:21" ht="18.75" x14ac:dyDescent="0.3">
      <c r="B5" s="92" t="s">
        <v>34</v>
      </c>
      <c r="C5" s="93" t="s">
        <v>1</v>
      </c>
      <c r="D5" s="93" t="s">
        <v>50</v>
      </c>
      <c r="E5" s="93" t="s">
        <v>50</v>
      </c>
      <c r="F5" s="93" t="s">
        <v>39</v>
      </c>
      <c r="G5" s="93" t="s">
        <v>35</v>
      </c>
      <c r="H5" s="93" t="s">
        <v>37</v>
      </c>
      <c r="I5" s="93" t="s">
        <v>38</v>
      </c>
      <c r="J5" s="93" t="s">
        <v>48</v>
      </c>
      <c r="K5" s="93" t="s">
        <v>45</v>
      </c>
      <c r="L5" s="93" t="s">
        <v>49</v>
      </c>
      <c r="M5" s="99" t="s">
        <v>55</v>
      </c>
      <c r="N5" s="76"/>
      <c r="O5" s="60" t="s">
        <v>57</v>
      </c>
      <c r="P5" s="61"/>
      <c r="Q5" s="73">
        <v>7.4999999999999997E-2</v>
      </c>
      <c r="R5" s="17"/>
      <c r="S5" s="17"/>
      <c r="T5" s="17"/>
      <c r="U5" s="17"/>
    </row>
    <row r="6" spans="2:21" ht="21.95" customHeight="1" x14ac:dyDescent="0.3">
      <c r="B6" s="94"/>
      <c r="C6" s="95"/>
      <c r="D6" s="96" t="s">
        <v>53</v>
      </c>
      <c r="E6" s="96" t="s">
        <v>52</v>
      </c>
      <c r="F6" s="95"/>
      <c r="G6" s="95"/>
      <c r="H6" s="97"/>
      <c r="I6" s="97"/>
      <c r="J6" s="97"/>
      <c r="K6" s="97"/>
      <c r="L6" s="97"/>
      <c r="M6" s="100"/>
      <c r="N6" s="18"/>
      <c r="O6" s="60" t="s">
        <v>58</v>
      </c>
      <c r="P6" s="61"/>
      <c r="Q6" s="73">
        <v>0.15</v>
      </c>
      <c r="T6" s="18"/>
      <c r="U6" s="18"/>
    </row>
    <row r="7" spans="2:21" ht="21.95" customHeight="1" x14ac:dyDescent="0.3">
      <c r="B7" s="79">
        <v>3</v>
      </c>
      <c r="C7" s="80">
        <v>0.35</v>
      </c>
      <c r="D7" s="81">
        <f>$Q$6*$Q$8*$Q$9*$F7*$B7/1000</f>
        <v>1.3723174972520518</v>
      </c>
      <c r="E7" s="82">
        <f>L7*(0.001*0.5*H7*((M7+$Q$4)/(1-$Q$4*M7))+$Q$5*0.5*0.001*B7*$Q$17)</f>
        <v>1.323906051875686</v>
      </c>
      <c r="F7" s="83">
        <f>0.25*PI()*(B7-0.5*1.876388*C7)^2</f>
        <v>5.6058721292975973</v>
      </c>
      <c r="G7" s="84">
        <f>DEGREES(ATAN(C7/(PI()*(B7-0.64952*C7))))</f>
        <v>2.3009616113881775</v>
      </c>
      <c r="H7" s="85">
        <f>B7-C7*0.64952</f>
        <v>2.7726679999999999</v>
      </c>
      <c r="I7" s="86">
        <f>$Q$8*$Q$9*F7</f>
        <v>3049.5944383378928</v>
      </c>
      <c r="J7" s="86">
        <f>H7*$Q$11*B7*PI()*$Q$13</f>
        <v>4824.9719070089304</v>
      </c>
      <c r="K7" s="86">
        <f>$Q$15*0.25*PI()*((B7*$Q$17)^2-((B7+$Q$16)^2))</f>
        <v>4094.9613041991761</v>
      </c>
      <c r="L7" s="86">
        <f>MIN(I7,J7,K7)</f>
        <v>3049.5944383378928</v>
      </c>
      <c r="M7" s="101">
        <f>C7/(PI()*H7)</f>
        <v>4.0180959337478096E-2</v>
      </c>
      <c r="N7" s="77"/>
      <c r="O7" s="4"/>
      <c r="T7" s="16"/>
      <c r="U7" s="16"/>
    </row>
    <row r="8" spans="2:21" ht="21.95" customHeight="1" x14ac:dyDescent="0.3">
      <c r="B8" s="87">
        <v>3</v>
      </c>
      <c r="C8" s="88">
        <v>0.5</v>
      </c>
      <c r="D8" s="109">
        <f>$Q$6*$Q$8*$Q$9*$F8*$B8/1000</f>
        <v>1.2315507017984455</v>
      </c>
      <c r="E8" s="110">
        <f>L8*(0.001*0.5*H8*((M8+$Q$4)/(1-$Q$4*M8))+$Q$5*0.5*0.001*B8*$Q$17)</f>
        <v>1.2403332871461008</v>
      </c>
      <c r="F8" s="111">
        <f>0.25*PI()*(B8-0.5*1.876388*C8)^2</f>
        <v>5.0308443700916898</v>
      </c>
      <c r="G8" s="112">
        <f>DEGREES(ATAN(C8/(PI()*(B8-0.64952*C8))))</f>
        <v>3.4046183514497397</v>
      </c>
      <c r="H8" s="113">
        <f>B8-C8*0.64952</f>
        <v>2.6752400000000001</v>
      </c>
      <c r="I8" s="114">
        <f>$Q$8*$Q$9*F8</f>
        <v>2736.7793373298791</v>
      </c>
      <c r="J8" s="114">
        <f>H8*$Q$11*B8*PI()*$Q$13</f>
        <v>4655.4285780001674</v>
      </c>
      <c r="K8" s="114">
        <f>$Q$15*0.25*PI()*((B8*$Q$17)^2-((B8+$Q$16)^2))</f>
        <v>4094.9613041991761</v>
      </c>
      <c r="L8" s="114">
        <f>MIN(I8,J8,K8)</f>
        <v>2736.7793373298791</v>
      </c>
      <c r="M8" s="115">
        <f>C8/(PI()*H8)</f>
        <v>5.9491837402212637E-2</v>
      </c>
      <c r="N8" s="77"/>
      <c r="O8" s="13" t="s">
        <v>33</v>
      </c>
      <c r="P8" s="59"/>
      <c r="Q8" s="64">
        <v>640</v>
      </c>
    </row>
    <row r="9" spans="2:21" ht="21.95" customHeight="1" x14ac:dyDescent="0.3">
      <c r="B9" s="79">
        <v>4</v>
      </c>
      <c r="C9" s="80">
        <v>0.5</v>
      </c>
      <c r="D9" s="81">
        <f>$Q$6*$Q$8*$Q$9*$F9*$B9/1000</f>
        <v>3.1960355784801879</v>
      </c>
      <c r="E9" s="82">
        <f t="shared" ref="E9" si="0">L9*(0.001*0.5*H9*((M9+$Q$4)/(1-$Q$4*M9))+$Q$5*0.5*0.001*B9*$Q$17)</f>
        <v>3.10582241428859</v>
      </c>
      <c r="F9" s="83">
        <f>0.25*PI()*(B9-0.5*1.876388*C9)^2</f>
        <v>9.7917756693633216</v>
      </c>
      <c r="G9" s="84">
        <f>DEGREES(ATAN(C9/(PI()*(B9-0.64952*C9))))</f>
        <v>2.4796238420945649</v>
      </c>
      <c r="H9" s="85">
        <f>B9-C9*0.64952</f>
        <v>3.6752400000000001</v>
      </c>
      <c r="I9" s="86">
        <f t="shared" ref="I9" si="1">$Q$8*$Q$9*F9</f>
        <v>5326.7259641336468</v>
      </c>
      <c r="J9" s="86">
        <f>H9*$Q$11*B9*PI()*$Q$13</f>
        <v>8527.4927742355012</v>
      </c>
      <c r="K9" s="86">
        <f>$Q$15*0.25*PI()*((B9*$Q$17)^2-((B9+$Q$16)^2))</f>
        <v>7479.5037896665799</v>
      </c>
      <c r="L9" s="86">
        <f t="shared" ref="L9" si="2">MIN(I9,J9,K9)</f>
        <v>5326.7259641336468</v>
      </c>
      <c r="M9" s="101">
        <f t="shared" ref="M9" si="3">C9/(PI()*H9)</f>
        <v>4.3304639449912211E-2</v>
      </c>
      <c r="N9" s="77"/>
      <c r="O9" s="13" t="s">
        <v>4</v>
      </c>
      <c r="P9" s="13"/>
      <c r="Q9" s="19">
        <v>0.85</v>
      </c>
      <c r="R9" s="18"/>
      <c r="S9" s="18"/>
    </row>
    <row r="10" spans="2:21" ht="21.95" customHeight="1" x14ac:dyDescent="0.3">
      <c r="B10" s="87">
        <v>4</v>
      </c>
      <c r="C10" s="88">
        <v>0.7</v>
      </c>
      <c r="D10" s="109">
        <f>$Q$6*$Q$8*$Q$9*$F10*$B10/1000</f>
        <v>2.8653747347674416</v>
      </c>
      <c r="E10" s="110">
        <f t="shared" ref="E10:E43" si="4">L10*(0.001*0.5*H10*((M10+$Q$4)/(1-$Q$4*M10))+$Q$5*0.5*0.001*B10*$Q$17)</f>
        <v>2.9061343325678131</v>
      </c>
      <c r="F10" s="111">
        <f>0.25*PI()*(B10-0.5*1.876388*C10)^2</f>
        <v>8.7787216138708395</v>
      </c>
      <c r="G10" s="112">
        <f>DEGREES(ATAN(C10/(PI()*(B10-0.64952*C10))))</f>
        <v>3.5961895514992559</v>
      </c>
      <c r="H10" s="113">
        <f>B10-C10*0.64952</f>
        <v>3.5453359999999998</v>
      </c>
      <c r="I10" s="114">
        <f t="shared" ref="I10:I43" si="5">$Q$8*$Q$9*F10</f>
        <v>4775.6245579457363</v>
      </c>
      <c r="J10" s="114">
        <f>H10*$Q$11*B10*PI()*$Q$13</f>
        <v>8226.0824115532578</v>
      </c>
      <c r="K10" s="114">
        <f>$Q$15*0.25*PI()*((B10*$Q$17)^2-((B10+$Q$16)^2))</f>
        <v>7479.5037896665799</v>
      </c>
      <c r="L10" s="114">
        <f t="shared" ref="L10:L43" si="6">MIN(I10,J10,K10)</f>
        <v>4775.6245579457363</v>
      </c>
      <c r="M10" s="115">
        <f t="shared" ref="M10:M43" si="7">C10/(PI()*H10)</f>
        <v>6.2847899417334069E-2</v>
      </c>
      <c r="N10" s="77"/>
      <c r="O10" s="62" t="s">
        <v>36</v>
      </c>
      <c r="P10" s="16"/>
      <c r="Q10" s="63">
        <f>Q8*Q9</f>
        <v>544</v>
      </c>
      <c r="R10" s="16"/>
      <c r="S10" s="16"/>
    </row>
    <row r="11" spans="2:21" ht="21.95" customHeight="1" x14ac:dyDescent="0.3">
      <c r="B11" s="79">
        <v>5</v>
      </c>
      <c r="C11" s="80">
        <v>0.5</v>
      </c>
      <c r="D11" s="81">
        <f>$Q$6*$Q$8*$Q$9*$F11*$B11/1000</f>
        <v>6.5783893445353803</v>
      </c>
      <c r="E11" s="82">
        <f t="shared" ref="E11" si="8">L11*(0.001*0.5*H11*((M11+$Q$4)/(1-$Q$4*M11))+$Q$5*0.5*0.001*B11*$Q$17)</f>
        <v>6.2536913296937122</v>
      </c>
      <c r="F11" s="83">
        <f>0.25*PI()*(B11-0.5*1.876388*C11)^2</f>
        <v>16.123503295429856</v>
      </c>
      <c r="G11" s="84">
        <f>DEGREES(ATAN(C11/(PI()*(B11-0.64952*C11))))</f>
        <v>1.9497151913326314</v>
      </c>
      <c r="H11" s="85">
        <f>B11-C11*0.64952</f>
        <v>4.6752399999999996</v>
      </c>
      <c r="I11" s="86">
        <f t="shared" ref="I11" si="9">$Q$8*$Q$9*F11</f>
        <v>8771.1857927138408</v>
      </c>
      <c r="J11" s="86">
        <f>H11*$Q$11*B11*PI()*$Q$13</f>
        <v>13559.684305588471</v>
      </c>
      <c r="K11" s="86">
        <f>$Q$15*0.25*PI()*((B11*$Q$17)^2-((B11+$Q$16)^2))</f>
        <v>11869.355924282718</v>
      </c>
      <c r="L11" s="86">
        <f t="shared" ref="L11" si="10">MIN(I11,J11,K11)</f>
        <v>8771.1857927138408</v>
      </c>
      <c r="M11" s="101">
        <f t="shared" ref="M11" si="11">C11/(PI()*H11)</f>
        <v>3.4042090479182961E-2</v>
      </c>
      <c r="N11" s="77"/>
      <c r="O11" s="13" t="s">
        <v>40</v>
      </c>
      <c r="P11" s="59"/>
      <c r="Q11" s="19">
        <v>1</v>
      </c>
    </row>
    <row r="12" spans="2:21" ht="21.95" customHeight="1" x14ac:dyDescent="0.3">
      <c r="B12" s="87">
        <v>5</v>
      </c>
      <c r="C12" s="88">
        <v>0.8</v>
      </c>
      <c r="D12" s="109">
        <f>$Q$6*$Q$8*$Q$9*$F12*$B12/1000</f>
        <v>5.7864796319197485</v>
      </c>
      <c r="E12" s="110">
        <f t="shared" si="4"/>
        <v>5.7949388608881671</v>
      </c>
      <c r="F12" s="111">
        <f>0.25*PI()*(B12-0.5*1.876388*C12)^2</f>
        <v>14.182548117450365</v>
      </c>
      <c r="G12" s="112">
        <f>DEGREES(ATAN(C12/(PI()*(B12-0.64952*C12))))</f>
        <v>3.2529734683379194</v>
      </c>
      <c r="H12" s="113">
        <f>B12-C12*0.64952</f>
        <v>4.4803839999999999</v>
      </c>
      <c r="I12" s="114">
        <f t="shared" si="5"/>
        <v>7715.306175892998</v>
      </c>
      <c r="J12" s="114">
        <f>H12*$Q$11*B12*PI()*$Q$13</f>
        <v>12994.539875559267</v>
      </c>
      <c r="K12" s="114">
        <f>$Q$15*0.25*PI()*((B12*$Q$17)^2-((B12+$Q$16)^2))</f>
        <v>11869.355924282718</v>
      </c>
      <c r="L12" s="114">
        <f t="shared" si="6"/>
        <v>7715.306175892998</v>
      </c>
      <c r="M12" s="115">
        <f t="shared" si="7"/>
        <v>5.6836179431725621E-2</v>
      </c>
      <c r="N12" s="77"/>
      <c r="O12" s="67" t="s">
        <v>42</v>
      </c>
      <c r="P12" s="59"/>
      <c r="Q12" s="13">
        <v>2</v>
      </c>
    </row>
    <row r="13" spans="2:21" ht="21.95" customHeight="1" x14ac:dyDescent="0.3">
      <c r="B13" s="79">
        <v>6</v>
      </c>
      <c r="C13" s="80">
        <v>0.75</v>
      </c>
      <c r="D13" s="81">
        <f>$Q$6*$Q$8*$Q$9*$F13*$B13/1000</f>
        <v>10.786620077370634</v>
      </c>
      <c r="E13" s="82">
        <f t="shared" ref="E13" si="12">L13*(0.001*0.5*H13*((M13+$Q$4)/(1-$Q$4*M13))+$Q$5*0.5*0.001*B13*$Q$17)</f>
        <v>10.482150648223991</v>
      </c>
      <c r="F13" s="83">
        <f>0.25*PI()*(B13-0.5*1.876388*C13)^2</f>
        <v>22.031495256067473</v>
      </c>
      <c r="G13" s="84">
        <f>DEGREES(ATAN(C13/(PI()*(B13-0.64952*C13))))</f>
        <v>2.4796238420945649</v>
      </c>
      <c r="H13" s="85">
        <f>B13-C13*0.64952</f>
        <v>5.5128599999999999</v>
      </c>
      <c r="I13" s="86">
        <f t="shared" ref="I13" si="13">$Q$8*$Q$9*F13</f>
        <v>11985.133419300706</v>
      </c>
      <c r="J13" s="86">
        <f>H13*$Q$11*B13*PI()*$Q$13</f>
        <v>19186.858742029875</v>
      </c>
      <c r="K13" s="86">
        <f>$Q$15*0.25*PI()*((B13*$Q$17)^2-((B13+$Q$16)^2))</f>
        <v>17264.517708047588</v>
      </c>
      <c r="L13" s="86">
        <f t="shared" ref="L13" si="14">MIN(I13,J13,K13)</f>
        <v>11985.133419300706</v>
      </c>
      <c r="M13" s="101">
        <f t="shared" ref="M13" si="15">C13/(PI()*H13)</f>
        <v>4.3304639449912211E-2</v>
      </c>
      <c r="N13" s="78"/>
      <c r="O13" s="65" t="s">
        <v>41</v>
      </c>
      <c r="Q13" s="71">
        <f>0.577*Q8/Q12</f>
        <v>184.64</v>
      </c>
    </row>
    <row r="14" spans="2:21" ht="21.95" customHeight="1" x14ac:dyDescent="0.3">
      <c r="B14" s="87">
        <v>6</v>
      </c>
      <c r="C14" s="88">
        <v>1</v>
      </c>
      <c r="D14" s="109">
        <f>$Q$6*$Q$8*$Q$9*$F14*$B14/1000</f>
        <v>9.852405614387564</v>
      </c>
      <c r="E14" s="110">
        <f t="shared" si="4"/>
        <v>9.9226662971688064</v>
      </c>
      <c r="F14" s="111">
        <f>0.25*PI()*(B14-0.5*1.876388*C14)^2</f>
        <v>20.123377480366759</v>
      </c>
      <c r="G14" s="112">
        <f>DEGREES(ATAN(C14/(PI()*(B14-0.64952*C14))))</f>
        <v>3.4046183514497397</v>
      </c>
      <c r="H14" s="113">
        <f>B14-C14*0.64952</f>
        <v>5.3504800000000001</v>
      </c>
      <c r="I14" s="114">
        <f t="shared" si="5"/>
        <v>10947.117349319517</v>
      </c>
      <c r="J14" s="114">
        <f>H14*$Q$11*B14*PI()*$Q$13</f>
        <v>18621.714312000669</v>
      </c>
      <c r="K14" s="114">
        <f>$Q$15*0.25*PI()*((B14*$Q$17)^2-((B14+$Q$16)^2))</f>
        <v>17264.517708047588</v>
      </c>
      <c r="L14" s="114">
        <f t="shared" si="6"/>
        <v>10947.117349319517</v>
      </c>
      <c r="M14" s="115">
        <f t="shared" si="7"/>
        <v>5.9491837402212637E-2</v>
      </c>
      <c r="N14" s="78"/>
      <c r="O14" s="67" t="s">
        <v>43</v>
      </c>
      <c r="P14" s="59"/>
      <c r="Q14" s="13">
        <v>3</v>
      </c>
    </row>
    <row r="15" spans="2:21" ht="21.95" customHeight="1" x14ac:dyDescent="0.3">
      <c r="B15" s="79">
        <v>8</v>
      </c>
      <c r="C15" s="80">
        <v>0.75</v>
      </c>
      <c r="D15" s="81">
        <f>$Q$6*$Q$8*$Q$9*$F15*$B15/1000</f>
        <v>27.294923407115387</v>
      </c>
      <c r="E15" s="82">
        <f t="shared" si="4"/>
        <v>25.803747212063723</v>
      </c>
      <c r="F15" s="83">
        <f>0.25*PI()*(B15-0.5*1.876388*C15)^2</f>
        <v>41.812076297664504</v>
      </c>
      <c r="G15" s="84">
        <f>DEGREES(ATAN(C15/(PI()*(B15-0.64952*C15))))</f>
        <v>1.8200470511572058</v>
      </c>
      <c r="H15" s="85">
        <f>B15-C15*0.64952</f>
        <v>7.5128599999999999</v>
      </c>
      <c r="I15" s="86">
        <f t="shared" si="5"/>
        <v>22745.769505929489</v>
      </c>
      <c r="J15" s="86">
        <f>H15*$Q$11*B15*PI()*$Q$13</f>
        <v>34863.497003647615</v>
      </c>
      <c r="K15" s="86">
        <f>$Q$15*0.25*PI()*((B15*$Q$17)^2-((B15+$Q$16)^2))</f>
        <v>31070.770223023534</v>
      </c>
      <c r="L15" s="86">
        <f t="shared" si="6"/>
        <v>22745.769505929489</v>
      </c>
      <c r="M15" s="101">
        <f t="shared" si="7"/>
        <v>3.177650250874408E-2</v>
      </c>
      <c r="N15" s="78"/>
      <c r="O15" s="65" t="s">
        <v>44</v>
      </c>
      <c r="Q15" s="71">
        <f>Q8/Q14</f>
        <v>213.33333333333334</v>
      </c>
    </row>
    <row r="16" spans="2:21" ht="21.95" customHeight="1" x14ac:dyDescent="0.3">
      <c r="B16" s="87">
        <v>8</v>
      </c>
      <c r="C16" s="88">
        <v>1</v>
      </c>
      <c r="D16" s="109">
        <f>$Q$6*$Q$8*$Q$9*$F16*$B16/1000</f>
        <v>25.568284627841503</v>
      </c>
      <c r="E16" s="110">
        <f t="shared" ref="E16" si="16">L16*(0.001*0.5*H16*((M16+$Q$4)/(1-$Q$4*M16))+$Q$5*0.5*0.001*B16*$Q$17)</f>
        <v>24.84657931430872</v>
      </c>
      <c r="F16" s="111">
        <f>0.25*PI()*(B16-0.5*1.876388*C16)^2</f>
        <v>39.167102677453286</v>
      </c>
      <c r="G16" s="112">
        <f>DEGREES(ATAN(C16/(PI()*(B16-0.64952*C16))))</f>
        <v>2.4796238420945649</v>
      </c>
      <c r="H16" s="113">
        <f>B16-C16*0.64952</f>
        <v>7.3504800000000001</v>
      </c>
      <c r="I16" s="114">
        <f t="shared" ref="I16" si="17">$Q$8*$Q$9*F16</f>
        <v>21306.903856534587</v>
      </c>
      <c r="J16" s="114">
        <f>H16*$Q$11*B16*PI()*$Q$13</f>
        <v>34109.971096942005</v>
      </c>
      <c r="K16" s="114">
        <f>$Q$15*0.25*PI()*((B16*$Q$17)^2-((B16+$Q$16)^2))</f>
        <v>31070.770223023534</v>
      </c>
      <c r="L16" s="114">
        <f t="shared" ref="L16" si="18">MIN(I16,J16,K16)</f>
        <v>21306.903856534587</v>
      </c>
      <c r="M16" s="115">
        <f t="shared" ref="M16" si="19">C16/(PI()*H16)</f>
        <v>4.3304639449912211E-2</v>
      </c>
      <c r="N16" s="78"/>
      <c r="O16" s="67" t="s">
        <v>46</v>
      </c>
      <c r="P16" s="59"/>
      <c r="Q16" s="69">
        <v>0.4</v>
      </c>
    </row>
    <row r="17" spans="2:17" ht="21.95" customHeight="1" x14ac:dyDescent="0.3">
      <c r="B17" s="79">
        <v>8</v>
      </c>
      <c r="C17" s="80">
        <v>1.25</v>
      </c>
      <c r="D17" s="81">
        <f>$Q$6*$Q$8*$Q$9*$F17*$B17/1000</f>
        <v>23.898057049113895</v>
      </c>
      <c r="E17" s="82">
        <f t="shared" si="4"/>
        <v>23.856831173152429</v>
      </c>
      <c r="F17" s="83">
        <f>0.25*PI()*(B17-0.5*1.876388*C17)^2</f>
        <v>36.608543273765157</v>
      </c>
      <c r="G17" s="84">
        <f>DEGREES(ATAN(C17/(PI()*(B17-0.64952*C17))))</f>
        <v>3.1682955504836525</v>
      </c>
      <c r="H17" s="85">
        <f>B17-C17*0.64952</f>
        <v>7.1881000000000004</v>
      </c>
      <c r="I17" s="86">
        <f t="shared" si="5"/>
        <v>19915.047540928244</v>
      </c>
      <c r="J17" s="86">
        <f>H17*$Q$11*B17*PI()*$Q$13</f>
        <v>33356.445190236394</v>
      </c>
      <c r="K17" s="86">
        <f>$Q$15*0.25*PI()*((B17*$Q$17)^2-((B17+$Q$16)^2))</f>
        <v>31070.770223023534</v>
      </c>
      <c r="L17" s="86">
        <f t="shared" si="6"/>
        <v>19915.047540928244</v>
      </c>
      <c r="M17" s="101">
        <f t="shared" si="7"/>
        <v>5.5353620251490425E-2</v>
      </c>
      <c r="N17" s="78"/>
      <c r="O17" s="67" t="s">
        <v>47</v>
      </c>
      <c r="P17" s="59"/>
      <c r="Q17" s="68">
        <v>2</v>
      </c>
    </row>
    <row r="18" spans="2:17" ht="21.95" customHeight="1" x14ac:dyDescent="0.3">
      <c r="B18" s="87">
        <v>10</v>
      </c>
      <c r="C18" s="88">
        <v>1</v>
      </c>
      <c r="D18" s="109">
        <f>$Q$6*$Q$8*$Q$9*$F18*$B18/1000</f>
        <v>52.627114756283042</v>
      </c>
      <c r="E18" s="110">
        <f t="shared" si="4"/>
        <v>50.029530637549698</v>
      </c>
      <c r="F18" s="111">
        <f>0.25*PI()*(B18-0.5*1.876388*C18)^2</f>
        <v>64.494013181719424</v>
      </c>
      <c r="G18" s="112">
        <f>DEGREES(ATAN(C18/(PI()*(B18-0.64952*C18))))</f>
        <v>1.9497151913326314</v>
      </c>
      <c r="H18" s="113">
        <f>B18-C18*0.64952</f>
        <v>9.3504799999999992</v>
      </c>
      <c r="I18" s="114">
        <f t="shared" si="5"/>
        <v>35084.743170855363</v>
      </c>
      <c r="J18" s="114">
        <f>H18*$Q$11*B18*PI()*$Q$13</f>
        <v>54238.737222353884</v>
      </c>
      <c r="K18" s="114">
        <f>$Q$15*0.25*PI()*((B18*$Q$17)^2-((B18+$Q$16)^2))</f>
        <v>48898.261334594412</v>
      </c>
      <c r="L18" s="114">
        <f t="shared" si="6"/>
        <v>35084.743170855363</v>
      </c>
      <c r="M18" s="115">
        <f t="shared" si="7"/>
        <v>3.4042090479182961E-2</v>
      </c>
      <c r="N18" s="78"/>
      <c r="O18" s="65"/>
      <c r="Q18" s="66"/>
    </row>
    <row r="19" spans="2:17" ht="21.95" customHeight="1" x14ac:dyDescent="0.3">
      <c r="B19" s="79">
        <v>10</v>
      </c>
      <c r="C19" s="80">
        <v>1.25</v>
      </c>
      <c r="D19" s="81">
        <f>$Q$6*$Q$8*$Q$9*$F19*$B19/1000</f>
        <v>49.93805591375294</v>
      </c>
      <c r="E19" s="82">
        <f t="shared" ref="E19" si="20">L19*(0.001*0.5*H19*((M19+$Q$4)/(1-$Q$4*M19))+$Q$5*0.5*0.001*B19*$Q$17)</f>
        <v>48.528475223259221</v>
      </c>
      <c r="F19" s="83">
        <f>0.25*PI()*(B19-0.5*1.876388*C19)^2</f>
        <v>61.198597933520766</v>
      </c>
      <c r="G19" s="84">
        <f>DEGREES(ATAN(C19/(PI()*(B19-0.64952*C19))))</f>
        <v>2.4796238420945644</v>
      </c>
      <c r="H19" s="85">
        <f>B19-C19*0.64952</f>
        <v>9.1881000000000004</v>
      </c>
      <c r="I19" s="86">
        <f t="shared" ref="I19" si="21">$Q$8*$Q$9*F19</f>
        <v>33292.037275835297</v>
      </c>
      <c r="J19" s="86">
        <f>H19*$Q$11*B19*PI()*$Q$13</f>
        <v>53296.829838971877</v>
      </c>
      <c r="K19" s="86">
        <f>$Q$15*0.25*PI()*((B19*$Q$17)^2-((B19+$Q$16)^2))</f>
        <v>48898.261334594412</v>
      </c>
      <c r="L19" s="86">
        <f t="shared" ref="L19" si="22">MIN(I19,J19,K19)</f>
        <v>33292.037275835297</v>
      </c>
      <c r="M19" s="101">
        <f t="shared" ref="M19" si="23">C19/(PI()*H19)</f>
        <v>4.3304639449912204E-2</v>
      </c>
      <c r="N19" s="78"/>
      <c r="O19" s="65"/>
      <c r="Q19" s="66"/>
    </row>
    <row r="20" spans="2:17" ht="21.95" customHeight="1" x14ac:dyDescent="0.35">
      <c r="B20" s="87">
        <v>10</v>
      </c>
      <c r="C20" s="88">
        <v>1.5</v>
      </c>
      <c r="D20" s="109">
        <f>$Q$6*$Q$8*$Q$9*$F20*$B20/1000</f>
        <v>47.31951107190568</v>
      </c>
      <c r="E20" s="110">
        <f t="shared" si="4"/>
        <v>46.986694398052293</v>
      </c>
      <c r="F20" s="111">
        <f>0.25*PI()*(B20-0.5*1.876388*C20)^2</f>
        <v>57.989596901845204</v>
      </c>
      <c r="G20" s="112">
        <f>DEGREES(ATAN(C20/(PI()*(B20-0.64952*C20))))</f>
        <v>3.0281510454063927</v>
      </c>
      <c r="H20" s="113">
        <f>B20-C20*0.64952</f>
        <v>9.0257199999999997</v>
      </c>
      <c r="I20" s="114">
        <f t="shared" si="5"/>
        <v>31546.34071460379</v>
      </c>
      <c r="J20" s="114">
        <f>H20*$Q$11*B20*PI()*$Q$13</f>
        <v>52354.922455589869</v>
      </c>
      <c r="K20" s="114">
        <f>$Q$15*0.25*PI()*((B20*$Q$17)^2-((B20+$Q$16)^2))</f>
        <v>48898.261334594412</v>
      </c>
      <c r="L20" s="114">
        <f t="shared" si="6"/>
        <v>31546.34071460379</v>
      </c>
      <c r="M20" s="115">
        <f t="shared" si="7"/>
        <v>5.2900469909955776E-2</v>
      </c>
      <c r="N20" s="78"/>
      <c r="O20" s="12" t="s">
        <v>54</v>
      </c>
    </row>
    <row r="21" spans="2:17" ht="21.95" customHeight="1" x14ac:dyDescent="0.3">
      <c r="B21" s="79">
        <v>12</v>
      </c>
      <c r="C21" s="80">
        <v>1.25</v>
      </c>
      <c r="D21" s="81">
        <f>$Q$6*$Q$8*$Q$9*$F21*$B21/1000</f>
        <v>90.156743672126467</v>
      </c>
      <c r="E21" s="82">
        <f t="shared" si="4"/>
        <v>86.023917035027893</v>
      </c>
      <c r="F21" s="83">
        <f>0.25*PI()*(B21-0.5*1.876388*C21)^2</f>
        <v>92.071837900455961</v>
      </c>
      <c r="G21" s="84">
        <f>DEGREES(ATAN(C21/(PI()*(B21-0.64952*C21))))</f>
        <v>2.0367768069917838</v>
      </c>
      <c r="H21" s="85">
        <f>B21-C21*0.64952</f>
        <v>11.1881</v>
      </c>
      <c r="I21" s="86">
        <f t="shared" si="5"/>
        <v>50087.07981784804</v>
      </c>
      <c r="J21" s="86">
        <f>H21*$Q$11*B21*PI()*$Q$13</f>
        <v>77877.723828177928</v>
      </c>
      <c r="K21" s="86">
        <f>$Q$15*0.25*PI()*((B21*$Q$17)^2-((B21+$Q$16)^2))</f>
        <v>70746.99104276023</v>
      </c>
      <c r="L21" s="86">
        <f t="shared" si="6"/>
        <v>50087.07981784804</v>
      </c>
      <c r="M21" s="101">
        <f t="shared" si="7"/>
        <v>3.5563443098447306E-2</v>
      </c>
      <c r="N21" s="78"/>
    </row>
    <row r="22" spans="2:17" ht="21.95" customHeight="1" x14ac:dyDescent="0.3">
      <c r="B22" s="87">
        <v>12</v>
      </c>
      <c r="C22" s="88">
        <v>1.5</v>
      </c>
      <c r="D22" s="109">
        <f>$Q$6*$Q$8*$Q$9*$F22*$B22/1000</f>
        <v>86.292960618965068</v>
      </c>
      <c r="E22" s="110">
        <f t="shared" ref="E22" si="24">L22*(0.001*0.5*H22*((M22+$Q$4)/(1-$Q$4*M22))+$Q$5*0.5*0.001*B22*$Q$17)</f>
        <v>83.857205185791926</v>
      </c>
      <c r="F22" s="111">
        <f>0.25*PI()*(B22-0.5*1.876388*C22)^2</f>
        <v>88.12598102426989</v>
      </c>
      <c r="G22" s="112">
        <f>DEGREES(ATAN(C22/(PI()*(B22-0.64952*C22))))</f>
        <v>2.4796238420945649</v>
      </c>
      <c r="H22" s="113">
        <f>B22-C22*0.64952</f>
        <v>11.02572</v>
      </c>
      <c r="I22" s="114">
        <f t="shared" ref="I22" si="25">$Q$8*$Q$9*F22</f>
        <v>47940.533677202824</v>
      </c>
      <c r="J22" s="114">
        <f>H22*$Q$11*B22*PI()*$Q$13</f>
        <v>76747.434968119502</v>
      </c>
      <c r="K22" s="114">
        <f>$Q$15*0.25*PI()*((B22*$Q$17)^2-((B22+$Q$16)^2))</f>
        <v>70746.99104276023</v>
      </c>
      <c r="L22" s="114">
        <f t="shared" ref="L22" si="26">MIN(I22,J22,K22)</f>
        <v>47940.533677202824</v>
      </c>
      <c r="M22" s="115">
        <f t="shared" ref="M22" si="27">C22/(PI()*H22)</f>
        <v>4.3304639449912211E-2</v>
      </c>
      <c r="N22" s="78"/>
    </row>
    <row r="23" spans="2:17" ht="21.95" customHeight="1" x14ac:dyDescent="0.3">
      <c r="B23" s="79">
        <v>12</v>
      </c>
      <c r="C23" s="80">
        <v>1.75</v>
      </c>
      <c r="D23" s="81">
        <f>$Q$6*$Q$8*$Q$9*$F23*$B23/1000</f>
        <v>82.513794366623102</v>
      </c>
      <c r="E23" s="82">
        <f t="shared" si="4"/>
        <v>81.641622773947731</v>
      </c>
      <c r="F23" s="83">
        <f>0.25*PI()*(B23-0.5*1.876388*C23)^2</f>
        <v>84.26653836460693</v>
      </c>
      <c r="G23" s="84">
        <f>DEGREES(ATAN(C23/(PI()*(B23-0.64952*C23))))</f>
        <v>2.9353995997348408</v>
      </c>
      <c r="H23" s="85">
        <f>B23-C23*0.64952</f>
        <v>10.863340000000001</v>
      </c>
      <c r="I23" s="86">
        <f t="shared" si="5"/>
        <v>45840.996870346171</v>
      </c>
      <c r="J23" s="86">
        <f>H23*$Q$11*B23*PI()*$Q$13</f>
        <v>75617.146108061104</v>
      </c>
      <c r="K23" s="86">
        <f>$Q$15*0.25*PI()*((B23*$Q$17)^2-((B23+$Q$16)^2))</f>
        <v>70746.99104276023</v>
      </c>
      <c r="L23" s="86">
        <f t="shared" si="6"/>
        <v>45840.996870346171</v>
      </c>
      <c r="M23" s="101">
        <f t="shared" si="7"/>
        <v>5.1277259187472148E-2</v>
      </c>
      <c r="N23" s="78"/>
    </row>
    <row r="24" spans="2:17" ht="21.95" customHeight="1" x14ac:dyDescent="0.3">
      <c r="B24" s="87">
        <v>14</v>
      </c>
      <c r="C24" s="88">
        <v>1.5</v>
      </c>
      <c r="D24" s="116">
        <f>$Q$6*$Q$8*$Q$9*$F24*$B24/1000</f>
        <v>142.28083683850585</v>
      </c>
      <c r="E24" s="116">
        <f t="shared" ref="E24" si="28">L24*(0.001*0.5*H24*((M24+$Q$4)/(1-$Q$4*M24))+$Q$5*0.5*0.001*B24*$Q$17)</f>
        <v>136.11627321206163</v>
      </c>
      <c r="F24" s="111">
        <f>0.25*PI()*(B24-0.5*1.876388*C24)^2</f>
        <v>124.54555045387417</v>
      </c>
      <c r="G24" s="112">
        <f>DEGREES(ATAN(C24/(PI()*(B24-0.64952*C24))))</f>
        <v>2.0992679887471239</v>
      </c>
      <c r="H24" s="113">
        <f>B24-C24*0.64952</f>
        <v>13.02572</v>
      </c>
      <c r="I24" s="114">
        <f t="shared" ref="I24" si="29">$Q$8*$Q$9*F24</f>
        <v>67752.779446907545</v>
      </c>
      <c r="J24" s="114">
        <f>H24*$Q$11*B24*PI()*$Q$13</f>
        <v>105780.45682111969</v>
      </c>
      <c r="K24" s="114">
        <f>$Q$15*0.25*PI()*((B24*$Q$17)^2-((B24+$Q$16)^2))</f>
        <v>96616.959347520984</v>
      </c>
      <c r="L24" s="114">
        <f t="shared" ref="L24" si="30">MIN(I24,J24,K24)</f>
        <v>67752.779446907545</v>
      </c>
      <c r="M24" s="115">
        <f t="shared" ref="M24" si="31">C24/(PI()*H24)</f>
        <v>3.6655542210003444E-2</v>
      </c>
      <c r="N24" s="78"/>
    </row>
    <row r="25" spans="2:17" ht="18.75" x14ac:dyDescent="0.25">
      <c r="B25" s="79">
        <v>14</v>
      </c>
      <c r="C25" s="80">
        <v>2</v>
      </c>
      <c r="D25" s="89">
        <f>$Q$6*$Q$8*$Q$9*$F25*$B25/1000</f>
        <v>131.87793361712625</v>
      </c>
      <c r="E25" s="89">
        <f t="shared" si="4"/>
        <v>130.15098310792033</v>
      </c>
      <c r="F25" s="83">
        <f>0.25*PI()*(B25-0.5*1.876388*C25)^2</f>
        <v>115.4393676620503</v>
      </c>
      <c r="G25" s="84">
        <f>DEGREES(ATAN(C25/(PI()*(B25-0.64952*C25))))</f>
        <v>2.8694779820095526</v>
      </c>
      <c r="H25" s="85">
        <f>B25-C25*0.64952</f>
        <v>12.70096</v>
      </c>
      <c r="I25" s="86">
        <f t="shared" si="5"/>
        <v>62799.016008155362</v>
      </c>
      <c r="J25" s="86">
        <f>H25*$Q$11*B25*PI()*$Q$13</f>
        <v>103143.11614765007</v>
      </c>
      <c r="K25" s="86">
        <f>$Q$15*0.25*PI()*((B25*$Q$17)^2-((B25+$Q$16)^2))</f>
        <v>96616.959347520984</v>
      </c>
      <c r="L25" s="86">
        <f t="shared" si="6"/>
        <v>62799.016008155362</v>
      </c>
      <c r="M25" s="101">
        <f t="shared" si="7"/>
        <v>5.0123752249245833E-2</v>
      </c>
    </row>
    <row r="26" spans="2:17" ht="18.75" x14ac:dyDescent="0.25">
      <c r="B26" s="87">
        <v>16</v>
      </c>
      <c r="C26" s="88">
        <v>1.5</v>
      </c>
      <c r="D26" s="116">
        <f>$Q$6*$Q$8*$Q$9*$F26*$B26/1000</f>
        <v>218.3593872569231</v>
      </c>
      <c r="E26" s="116">
        <f t="shared" ref="E26:E34" si="32">L26*(0.001*0.5*H26*((M26+$Q$4)/(1-$Q$4*M26))+$Q$5*0.5*0.001*B26*$Q$17)</f>
        <v>206.42997769650978</v>
      </c>
      <c r="F26" s="111">
        <f>0.25*PI()*(B26-0.5*1.876388*C26)^2</f>
        <v>167.24830519065802</v>
      </c>
      <c r="G26" s="112">
        <f>DEGREES(ATAN(C26/(PI()*(B26-0.64952*C26))))</f>
        <v>1.8200470511572058</v>
      </c>
      <c r="H26" s="113">
        <f>B26-C26*0.64952</f>
        <v>15.02572</v>
      </c>
      <c r="I26" s="114">
        <f t="shared" ref="I26:I34" si="33">$Q$8*$Q$9*F26</f>
        <v>90983.078023717957</v>
      </c>
      <c r="J26" s="114">
        <f>H26*$Q$11*B26*PI()*$Q$13</f>
        <v>139453.98801459046</v>
      </c>
      <c r="K26" s="114">
        <f>$Q$15*0.25*PI()*((B26*$Q$17)^2-((B26+$Q$16)^2))</f>
        <v>126508.16624887666</v>
      </c>
      <c r="L26" s="114">
        <f t="shared" ref="L26:L34" si="34">MIN(I26,J26,K26)</f>
        <v>90983.078023717957</v>
      </c>
      <c r="M26" s="115">
        <f t="shared" ref="M26:M34" si="35">C26/(PI()*H26)</f>
        <v>3.177650250874408E-2</v>
      </c>
    </row>
    <row r="27" spans="2:17" ht="21" x14ac:dyDescent="0.25">
      <c r="B27" s="79">
        <v>16</v>
      </c>
      <c r="C27" s="80">
        <v>2</v>
      </c>
      <c r="D27" s="89">
        <f>$Q$6*$Q$8*$Q$9*$F27*$B27/1000</f>
        <v>204.54627702273203</v>
      </c>
      <c r="E27" s="89">
        <f t="shared" si="32"/>
        <v>198.77263451446976</v>
      </c>
      <c r="F27" s="83">
        <f>0.25*PI()*(B27-0.5*1.876388*C27)^2</f>
        <v>156.66841070981314</v>
      </c>
      <c r="G27" s="84">
        <f>DEGREES(ATAN(C27/(PI()*(B27-0.64952*C27))))</f>
        <v>2.4796238420945649</v>
      </c>
      <c r="H27" s="85">
        <f>B27-C27*0.64952</f>
        <v>14.70096</v>
      </c>
      <c r="I27" s="86">
        <f t="shared" si="33"/>
        <v>85227.615426138349</v>
      </c>
      <c r="J27" s="86">
        <f>H27*$Q$11*B27*PI()*$Q$13</f>
        <v>136439.88438776802</v>
      </c>
      <c r="K27" s="86">
        <f>$Q$15*0.25*PI()*((B27*$Q$17)^2-((B27+$Q$16)^2))</f>
        <v>126508.16624887666</v>
      </c>
      <c r="L27" s="86">
        <f t="shared" si="34"/>
        <v>85227.615426138349</v>
      </c>
      <c r="M27" s="101">
        <f t="shared" si="35"/>
        <v>4.3304639449912211E-2</v>
      </c>
      <c r="N27" s="75"/>
    </row>
    <row r="28" spans="2:17" ht="18.75" x14ac:dyDescent="0.25">
      <c r="B28" s="87">
        <v>18</v>
      </c>
      <c r="C28" s="88">
        <v>1.5</v>
      </c>
      <c r="D28" s="116">
        <f>$Q$6*$Q$8*$Q$9*$F28*$B28/1000</f>
        <v>317.60485940061199</v>
      </c>
      <c r="E28" s="116">
        <f t="shared" si="32"/>
        <v>297.46439878725738</v>
      </c>
      <c r="F28" s="111">
        <f>0.25*PI()*(B28-0.5*1.876388*C28)^2</f>
        <v>216.23424523462148</v>
      </c>
      <c r="G28" s="112">
        <f>DEGREES(ATAN(C28/(PI()*(B28-0.64952*C28))))</f>
        <v>1.6063668021254012</v>
      </c>
      <c r="H28" s="113">
        <f>B28-C28*0.64952</f>
        <v>17.02572</v>
      </c>
      <c r="I28" s="114">
        <f t="shared" si="33"/>
        <v>117631.42940763409</v>
      </c>
      <c r="J28" s="114">
        <f>H28*$Q$11*B28*PI()*$Q$13</f>
        <v>177768.02854853176</v>
      </c>
      <c r="K28" s="114">
        <f>$Q$15*0.25*PI()*((B28*$Q$17)^2-((B28+$Q$16)^2))</f>
        <v>160420.61174682729</v>
      </c>
      <c r="L28" s="114">
        <f t="shared" si="34"/>
        <v>117631.42940763409</v>
      </c>
      <c r="M28" s="115">
        <f t="shared" si="35"/>
        <v>2.8043737902167194E-2</v>
      </c>
    </row>
    <row r="29" spans="2:17" ht="21" x14ac:dyDescent="0.35">
      <c r="B29" s="79">
        <v>18</v>
      </c>
      <c r="C29" s="80">
        <v>2.5</v>
      </c>
      <c r="D29" s="89">
        <f>$Q$6*$Q$8*$Q$9*$F29*$B29/1000</f>
        <v>282.70388672093048</v>
      </c>
      <c r="E29" s="89">
        <f t="shared" si="32"/>
        <v>278.05046688658609</v>
      </c>
      <c r="F29" s="83">
        <f>0.25*PI()*(B29-0.5*1.876388*C29)^2</f>
        <v>192.47268976098206</v>
      </c>
      <c r="G29" s="84">
        <f>DEGREES(ATAN(C29/(PI()*(B29-0.64952*C29))))</f>
        <v>2.7820065526574753</v>
      </c>
      <c r="H29" s="85">
        <f>B29-C29*0.64952</f>
        <v>16.376200000000001</v>
      </c>
      <c r="I29" s="86">
        <f t="shared" si="33"/>
        <v>104705.14322997424</v>
      </c>
      <c r="J29" s="86">
        <f>H29*$Q$11*B29*PI()*$Q$13</f>
        <v>170986.29538818132</v>
      </c>
      <c r="K29" s="86">
        <f>$Q$15*0.25*PI()*((B29*$Q$17)^2-((B29+$Q$16)^2))</f>
        <v>160420.61174682729</v>
      </c>
      <c r="L29" s="86">
        <f t="shared" si="34"/>
        <v>104705.14322997424</v>
      </c>
      <c r="M29" s="101">
        <f t="shared" si="35"/>
        <v>4.8593368147645769E-2</v>
      </c>
      <c r="N29" s="72"/>
    </row>
    <row r="30" spans="2:17" ht="18.75" x14ac:dyDescent="0.3">
      <c r="B30" s="87">
        <v>20</v>
      </c>
      <c r="C30" s="88">
        <v>1.5</v>
      </c>
      <c r="D30" s="116">
        <f>$Q$6*$Q$8*$Q$9*$F30*$B30/1000</f>
        <v>443.09350079596766</v>
      </c>
      <c r="E30" s="116">
        <f t="shared" si="32"/>
        <v>411.88561707153809</v>
      </c>
      <c r="F30" s="111">
        <f>0.25*PI()*(B30-0.5*1.876388*C30)^2</f>
        <v>271.50337058576451</v>
      </c>
      <c r="G30" s="112">
        <f>DEGREES(ATAN(C30/(PI()*(B30-0.64952*C30))))</f>
        <v>1.4375791661435249</v>
      </c>
      <c r="H30" s="113">
        <f>B30-C30*0.64952</f>
        <v>19.02572</v>
      </c>
      <c r="I30" s="114">
        <f t="shared" si="33"/>
        <v>147697.83359865588</v>
      </c>
      <c r="J30" s="114">
        <f>H30*$Q$11*B30*PI()*$Q$13</f>
        <v>220722.57842294362</v>
      </c>
      <c r="K30" s="114">
        <f>$Q$15*0.25*PI()*((B30*$Q$17)^2-((B30+$Q$16)^2))</f>
        <v>198354.29584137286</v>
      </c>
      <c r="L30" s="114">
        <f t="shared" si="34"/>
        <v>147697.83359865588</v>
      </c>
      <c r="M30" s="115">
        <f t="shared" si="35"/>
        <v>2.5095756127793641E-2</v>
      </c>
      <c r="N30" s="76"/>
    </row>
    <row r="31" spans="2:17" ht="18.75" x14ac:dyDescent="0.25">
      <c r="B31" s="79">
        <v>20</v>
      </c>
      <c r="C31" s="80">
        <v>2.5</v>
      </c>
      <c r="D31" s="89">
        <f>$Q$6*$Q$8*$Q$9*$F31*$B31/1000</f>
        <v>399.50444731002352</v>
      </c>
      <c r="E31" s="89">
        <f t="shared" si="32"/>
        <v>388.22780178607377</v>
      </c>
      <c r="F31" s="83">
        <f>0.25*PI()*(B31-0.5*1.876388*C31)^2</f>
        <v>244.79439173408306</v>
      </c>
      <c r="G31" s="84">
        <f>DEGREES(ATAN(C31/(PI()*(B31-0.64952*C31))))</f>
        <v>2.4796238420945644</v>
      </c>
      <c r="H31" s="85">
        <f>B31-C31*0.64952</f>
        <v>18.376200000000001</v>
      </c>
      <c r="I31" s="86">
        <f t="shared" si="33"/>
        <v>133168.14910334119</v>
      </c>
      <c r="J31" s="86">
        <f>H31*$Q$11*B31*PI()*$Q$13</f>
        <v>213187.31935588751</v>
      </c>
      <c r="K31" s="86">
        <f>$Q$15*0.25*PI()*((B31*$Q$17)^2-((B31+$Q$16)^2))</f>
        <v>198354.29584137286</v>
      </c>
      <c r="L31" s="86">
        <f t="shared" si="34"/>
        <v>133168.14910334119</v>
      </c>
      <c r="M31" s="101">
        <f t="shared" si="35"/>
        <v>4.3304639449912204E-2</v>
      </c>
      <c r="N31" s="18"/>
    </row>
    <row r="32" spans="2:17" ht="18.75" x14ac:dyDescent="0.3">
      <c r="B32" s="87">
        <v>22</v>
      </c>
      <c r="C32" s="88">
        <v>1.5</v>
      </c>
      <c r="D32" s="116">
        <f>$Q$6*$Q$8*$Q$9*$F32*$B32/1000</f>
        <v>597.90155896938506</v>
      </c>
      <c r="E32" s="116">
        <f t="shared" si="32"/>
        <v>552.35971336632997</v>
      </c>
      <c r="F32" s="111">
        <f>0.25*PI()*(B32-0.5*1.876388*C32)^2</f>
        <v>333.05568124408711</v>
      </c>
      <c r="G32" s="112">
        <f>DEGREES(ATAN(C32/(PI()*(B32-0.64952*C32))))</f>
        <v>1.3008838028964129</v>
      </c>
      <c r="H32" s="113">
        <f>B32-C32*0.64952</f>
        <v>21.02572</v>
      </c>
      <c r="I32" s="114">
        <f t="shared" si="33"/>
        <v>181182.29059678339</v>
      </c>
      <c r="J32" s="114">
        <f>H32*$Q$11*B32*PI()*$Q$13</f>
        <v>268317.63763782603</v>
      </c>
      <c r="K32" s="114">
        <f>$Q$15*0.25*PI()*((B32*$Q$17)^2-((B32+$Q$16)^2))</f>
        <v>240309.21853251333</v>
      </c>
      <c r="L32" s="114">
        <f t="shared" si="34"/>
        <v>181182.29059678339</v>
      </c>
      <c r="M32" s="115">
        <f t="shared" si="35"/>
        <v>2.2708607803950873E-2</v>
      </c>
      <c r="N32" s="77"/>
    </row>
    <row r="33" spans="2:14" ht="18.75" x14ac:dyDescent="0.3">
      <c r="B33" s="79">
        <v>22</v>
      </c>
      <c r="C33" s="80">
        <v>2.5</v>
      </c>
      <c r="D33" s="89">
        <f>$Q$6*$Q$8*$Q$9*$F33*$B33/1000</f>
        <v>544.66238568658571</v>
      </c>
      <c r="E33" s="89">
        <f t="shared" si="32"/>
        <v>524.05273190681112</v>
      </c>
      <c r="F33" s="83">
        <f>0.25*PI()*(B33-0.5*1.876388*C33)^2</f>
        <v>303.39927901436369</v>
      </c>
      <c r="G33" s="84">
        <f>DEGREES(ATAN(C33/(PI()*(B33-0.64952*C33))))</f>
        <v>2.2365000927934822</v>
      </c>
      <c r="H33" s="85">
        <f>B33-C33*0.64952</f>
        <v>20.376200000000001</v>
      </c>
      <c r="I33" s="86">
        <f t="shared" si="33"/>
        <v>165049.20778381385</v>
      </c>
      <c r="J33" s="86">
        <f>H33*$Q$11*B33*PI()*$Q$13</f>
        <v>260028.85266406435</v>
      </c>
      <c r="K33" s="86">
        <f>$Q$15*0.25*PI()*((B33*$Q$17)^2-((B33+$Q$16)^2))</f>
        <v>240309.21853251333</v>
      </c>
      <c r="L33" s="86">
        <f t="shared" si="34"/>
        <v>165049.20778381385</v>
      </c>
      <c r="M33" s="101">
        <f t="shared" si="35"/>
        <v>3.9054127632211923E-2</v>
      </c>
      <c r="N33" s="77"/>
    </row>
    <row r="34" spans="2:14" ht="18.75" x14ac:dyDescent="0.3">
      <c r="B34" s="87">
        <v>24</v>
      </c>
      <c r="C34" s="88">
        <v>2</v>
      </c>
      <c r="D34" s="116">
        <f>$Q$6*$Q$8*$Q$9*$F34*$B34/1000</f>
        <v>752.84114820885839</v>
      </c>
      <c r="E34" s="116">
        <f t="shared" si="32"/>
        <v>705.10079712535094</v>
      </c>
      <c r="F34" s="111">
        <f>0.25*PI()*(B34-0.5*1.876388*C34)^2</f>
        <v>384.41643597266051</v>
      </c>
      <c r="G34" s="112">
        <f>DEGREES(ATAN(C34/(PI()*(B34-0.64952*C34))))</f>
        <v>1.6063668021254012</v>
      </c>
      <c r="H34" s="113">
        <f>B34-C34*0.64952</f>
        <v>22.700959999999998</v>
      </c>
      <c r="I34" s="114">
        <f t="shared" si="33"/>
        <v>209122.5411691273</v>
      </c>
      <c r="J34" s="114">
        <f>H34*$Q$11*B34*PI()*$Q$13</f>
        <v>316032.05075294536</v>
      </c>
      <c r="K34" s="114">
        <f>$Q$15*0.25*PI()*((B34*$Q$17)^2-((B34+$Q$16)^2))</f>
        <v>286285.37982024881</v>
      </c>
      <c r="L34" s="114">
        <f t="shared" si="34"/>
        <v>209122.5411691273</v>
      </c>
      <c r="M34" s="115">
        <f t="shared" si="35"/>
        <v>2.8043737902167194E-2</v>
      </c>
      <c r="N34" s="77"/>
    </row>
    <row r="35" spans="2:14" ht="18.75" x14ac:dyDescent="0.3">
      <c r="B35" s="79">
        <v>24</v>
      </c>
      <c r="C35" s="80">
        <v>3</v>
      </c>
      <c r="D35" s="89">
        <f>$Q$6*$Q$8*$Q$9*$F35*$B35/1000</f>
        <v>690.34368495172055</v>
      </c>
      <c r="E35" s="89">
        <f t="shared" si="4"/>
        <v>670.85764148633541</v>
      </c>
      <c r="F35" s="83">
        <f>0.25*PI()*(B35-0.5*1.876388*C35)^2</f>
        <v>352.50392409707956</v>
      </c>
      <c r="G35" s="84">
        <f>DEGREES(ATAN(C35/(PI()*(B35-0.64952*C35))))</f>
        <v>2.4796238420945649</v>
      </c>
      <c r="H35" s="85">
        <f>B35-C35*0.64952</f>
        <v>22.051439999999999</v>
      </c>
      <c r="I35" s="86">
        <f t="shared" si="5"/>
        <v>191762.1347088113</v>
      </c>
      <c r="J35" s="86">
        <f>H35*$Q$11*B35*PI()*$Q$13</f>
        <v>306989.73987247801</v>
      </c>
      <c r="K35" s="86">
        <f>$Q$15*0.25*PI()*((B35*$Q$17)^2-((B35+$Q$16)^2))</f>
        <v>286285.37982024881</v>
      </c>
      <c r="L35" s="86">
        <f t="shared" si="6"/>
        <v>191762.1347088113</v>
      </c>
      <c r="M35" s="101">
        <f t="shared" si="7"/>
        <v>4.3304639449912211E-2</v>
      </c>
      <c r="N35" s="77"/>
    </row>
    <row r="36" spans="2:14" ht="18.75" x14ac:dyDescent="0.3">
      <c r="B36" s="87">
        <v>27</v>
      </c>
      <c r="C36" s="88">
        <v>2</v>
      </c>
      <c r="D36" s="116">
        <f>$Q$6*$Q$8*$Q$9*$F36*$B36/1000</f>
        <v>1092.2145549158392</v>
      </c>
      <c r="E36" s="116">
        <f t="shared" si="4"/>
        <v>1014.4365910636888</v>
      </c>
      <c r="F36" s="111">
        <f>0.25*PI()*(B36-0.5*1.876388*C36)^2</f>
        <v>495.74008483834399</v>
      </c>
      <c r="G36" s="112">
        <f>DEGREES(ATAN(C36/(PI()*(B36-0.64952*C36))))</f>
        <v>1.4189418910331462</v>
      </c>
      <c r="H36" s="113">
        <f>B36-C36*0.64952</f>
        <v>25.700959999999998</v>
      </c>
      <c r="I36" s="114">
        <f t="shared" si="5"/>
        <v>269682.6061520591</v>
      </c>
      <c r="J36" s="114">
        <f>H36*$Q$11*B36*PI()*$Q$13</f>
        <v>402521.21416932781</v>
      </c>
      <c r="K36" s="114">
        <f>$Q$15*0.25*PI()*((B36*$Q$17)^2-((B36+$Q$16)^2))</f>
        <v>362789.44412046747</v>
      </c>
      <c r="L36" s="114">
        <f t="shared" si="6"/>
        <v>269682.6061520591</v>
      </c>
      <c r="M36" s="115">
        <f t="shared" si="7"/>
        <v>2.477027209752404E-2</v>
      </c>
      <c r="N36" s="77"/>
    </row>
    <row r="37" spans="2:14" ht="18.75" x14ac:dyDescent="0.3">
      <c r="B37" s="79">
        <v>27</v>
      </c>
      <c r="C37" s="80">
        <v>3</v>
      </c>
      <c r="D37" s="89">
        <f>$Q$6*$Q$8*$Q$9*$F37*$B37/1000</f>
        <v>1012.1642639718061</v>
      </c>
      <c r="E37" s="89">
        <f t="shared" si="4"/>
        <v>971.70422222919603</v>
      </c>
      <c r="F37" s="83">
        <f>0.25*PI()*(B37-0.5*1.876388*C37)^2</f>
        <v>459.40643789569998</v>
      </c>
      <c r="G37" s="84">
        <f>DEGREES(ATAN(C37/(PI()*(B37-0.64952*C37))))</f>
        <v>2.1829867658914228</v>
      </c>
      <c r="H37" s="85">
        <f>B37-C37*0.64952</f>
        <v>25.051439999999999</v>
      </c>
      <c r="I37" s="86">
        <f t="shared" si="5"/>
        <v>249917.10221526079</v>
      </c>
      <c r="J37" s="86">
        <f>H37*$Q$11*B37*PI()*$Q$13</f>
        <v>392348.6144288021</v>
      </c>
      <c r="K37" s="86">
        <f>$Q$15*0.25*PI()*((B37*$Q$17)^2-((B37+$Q$16)^2))</f>
        <v>362789.44412046747</v>
      </c>
      <c r="L37" s="86">
        <f t="shared" si="6"/>
        <v>249917.10221526079</v>
      </c>
      <c r="M37" s="101">
        <f t="shared" si="7"/>
        <v>3.8118753195479867E-2</v>
      </c>
      <c r="N37" s="77"/>
    </row>
    <row r="38" spans="2:14" ht="18.75" x14ac:dyDescent="0.3">
      <c r="B38" s="87">
        <v>30</v>
      </c>
      <c r="C38" s="88">
        <v>2</v>
      </c>
      <c r="D38" s="116">
        <f>$Q$6*$Q$8*$Q$9*$F38*$B38/1000</f>
        <v>1520.6998047794043</v>
      </c>
      <c r="E38" s="116">
        <f t="shared" si="4"/>
        <v>1402.9307993792613</v>
      </c>
      <c r="F38" s="111">
        <f>0.25*PI()*(B38-0.5*1.876388*C38)^2</f>
        <v>621.2009006451816</v>
      </c>
      <c r="G38" s="112">
        <f>DEGREES(ATAN(C38/(PI()*(B38-0.64952*C38))))</f>
        <v>1.2706768638475783</v>
      </c>
      <c r="H38" s="113">
        <f>B38-C38*0.64952</f>
        <v>28.700959999999998</v>
      </c>
      <c r="I38" s="114">
        <f t="shared" si="5"/>
        <v>337933.28995097877</v>
      </c>
      <c r="J38" s="114">
        <f>H38*$Q$11*B38*PI()*$Q$13</f>
        <v>499451.52360176912</v>
      </c>
      <c r="K38" s="114">
        <f>$Q$15*0.25*PI()*((B38*$Q$17)^2-((B38+$Q$16)^2))</f>
        <v>448341.29526302469</v>
      </c>
      <c r="L38" s="114">
        <f t="shared" si="6"/>
        <v>337933.28995097877</v>
      </c>
      <c r="M38" s="115">
        <f t="shared" si="7"/>
        <v>2.2181131654396974E-2</v>
      </c>
      <c r="N38" s="77"/>
    </row>
    <row r="39" spans="2:14" ht="18.75" x14ac:dyDescent="0.3">
      <c r="B39" s="79">
        <v>30</v>
      </c>
      <c r="C39" s="80">
        <v>3.5</v>
      </c>
      <c r="D39" s="89">
        <f>$Q$6*$Q$8*$Q$9*$F39*$B39/1000</f>
        <v>1372.3174972520517</v>
      </c>
      <c r="E39" s="89">
        <f t="shared" si="4"/>
        <v>1323.906051875686</v>
      </c>
      <c r="F39" s="83">
        <f>0.25*PI()*(B39-0.5*1.876388*C39)^2</f>
        <v>560.58721292975974</v>
      </c>
      <c r="G39" s="84">
        <f>DEGREES(ATAN(C39/(PI()*(B39-0.64952*C39))))</f>
        <v>2.3009616113881779</v>
      </c>
      <c r="H39" s="85">
        <f>B39-C39*0.64952</f>
        <v>27.726680000000002</v>
      </c>
      <c r="I39" s="86">
        <f t="shared" si="5"/>
        <v>304959.44383378932</v>
      </c>
      <c r="J39" s="86">
        <f>H39*$Q$11*B39*PI()*$Q$13</f>
        <v>482497.190700893</v>
      </c>
      <c r="K39" s="86">
        <f>$Q$15*0.25*PI()*((B39*$Q$17)^2-((B39+$Q$16)^2))</f>
        <v>448341.29526302469</v>
      </c>
      <c r="L39" s="86">
        <f t="shared" si="6"/>
        <v>304959.44383378932</v>
      </c>
      <c r="M39" s="101">
        <f t="shared" si="7"/>
        <v>4.0180959337478103E-2</v>
      </c>
      <c r="N39" s="77"/>
    </row>
    <row r="40" spans="2:14" ht="18.75" x14ac:dyDescent="0.3">
      <c r="B40" s="87">
        <v>33</v>
      </c>
      <c r="C40" s="88">
        <v>2</v>
      </c>
      <c r="D40" s="116">
        <f>$Q$6*$Q$8*$Q$9*$F40*$B40/1000</f>
        <v>2048.6792332011369</v>
      </c>
      <c r="E40" s="116">
        <f t="shared" si="4"/>
        <v>1879.5814453217074</v>
      </c>
      <c r="F40" s="111">
        <f>0.25*PI()*(B40-0.5*1.876388*C40)^2</f>
        <v>760.79888339317324</v>
      </c>
      <c r="G40" s="112">
        <f>DEGREES(ATAN(C40/(PI()*(B40-0.64952*C40))))</f>
        <v>1.1504611816788757</v>
      </c>
      <c r="H40" s="113">
        <f>B40-C40*0.64952</f>
        <v>31.700959999999998</v>
      </c>
      <c r="I40" s="114">
        <f t="shared" si="5"/>
        <v>413874.59256588627</v>
      </c>
      <c r="J40" s="114">
        <f>H40*$Q$11*B40*PI()*$Q$13</f>
        <v>606822.97905026923</v>
      </c>
      <c r="K40" s="114">
        <f>$Q$15*0.25*PI()*((B40*$Q$17)^2-((B40+$Q$16)^2))</f>
        <v>542940.93324792047</v>
      </c>
      <c r="L40" s="114">
        <f t="shared" si="6"/>
        <v>413874.59256588627</v>
      </c>
      <c r="M40" s="115">
        <f t="shared" si="7"/>
        <v>2.0082034498878944E-2</v>
      </c>
      <c r="N40" s="78"/>
    </row>
    <row r="41" spans="2:14" ht="18.75" x14ac:dyDescent="0.3">
      <c r="B41" s="79">
        <v>33</v>
      </c>
      <c r="C41" s="80">
        <v>3.5</v>
      </c>
      <c r="D41" s="89">
        <f>$Q$6*$Q$8*$Q$9*$F41*$B41/1000</f>
        <v>1867.600846158168</v>
      </c>
      <c r="E41" s="89">
        <f t="shared" si="4"/>
        <v>1784.976482686548</v>
      </c>
      <c r="F41" s="83">
        <f>0.25*PI()*(B41-0.5*1.876388*C41)^2</f>
        <v>693.55349307715687</v>
      </c>
      <c r="G41" s="84">
        <f>DEGREES(ATAN(C41/(PI()*(B41-0.64952*C41))))</f>
        <v>2.0765144710422501</v>
      </c>
      <c r="H41" s="85">
        <f>B41-C41*0.64952</f>
        <v>30.726680000000002</v>
      </c>
      <c r="I41" s="86">
        <f t="shared" si="5"/>
        <v>377293.10023397335</v>
      </c>
      <c r="J41" s="86">
        <f>H41*$Q$11*B41*PI()*$Q$13</f>
        <v>588173.21285930532</v>
      </c>
      <c r="K41" s="86">
        <f>$Q$15*0.25*PI()*((B41*$Q$17)^2-((B41+$Q$16)^2))</f>
        <v>542940.93324792047</v>
      </c>
      <c r="L41" s="86">
        <f t="shared" si="6"/>
        <v>377293.10023397335</v>
      </c>
      <c r="M41" s="101">
        <f t="shared" si="7"/>
        <v>3.6257890590303515E-2</v>
      </c>
      <c r="N41" s="78"/>
    </row>
    <row r="42" spans="2:14" ht="18.75" x14ac:dyDescent="0.3">
      <c r="B42" s="87">
        <v>36</v>
      </c>
      <c r="C42" s="88">
        <v>3</v>
      </c>
      <c r="D42" s="116">
        <f>$Q$6*$Q$8*$Q$9*$F42*$B42/1000</f>
        <v>2540.8388752048959</v>
      </c>
      <c r="E42" s="116">
        <f t="shared" si="4"/>
        <v>2379.715190298059</v>
      </c>
      <c r="F42" s="111">
        <f>0.25*PI()*(B42-0.5*1.876388*C42)^2</f>
        <v>864.93698093848593</v>
      </c>
      <c r="G42" s="112">
        <f>DEGREES(ATAN(C42/(PI()*(B42-0.64952*C42))))</f>
        <v>1.6063668021254012</v>
      </c>
      <c r="H42" s="113">
        <f>B42-C42*0.64952</f>
        <v>34.051439999999999</v>
      </c>
      <c r="I42" s="114">
        <f t="shared" si="5"/>
        <v>470525.71763053635</v>
      </c>
      <c r="J42" s="114">
        <f>H42*$Q$11*B42*PI()*$Q$13</f>
        <v>711072.11419412703</v>
      </c>
      <c r="K42" s="114">
        <f>$Q$15*0.25*PI()*((B42*$Q$17)^2-((B42+$Q$16)^2))</f>
        <v>646588.35807515495</v>
      </c>
      <c r="L42" s="114">
        <f t="shared" si="6"/>
        <v>470525.71763053635</v>
      </c>
      <c r="M42" s="115">
        <f t="shared" si="7"/>
        <v>2.8043737902167194E-2</v>
      </c>
      <c r="N42" s="78"/>
    </row>
    <row r="43" spans="2:14" ht="19.5" thickBot="1" x14ac:dyDescent="0.35">
      <c r="B43" s="90">
        <v>36</v>
      </c>
      <c r="C43" s="91">
        <v>4</v>
      </c>
      <c r="D43" s="102">
        <f>$Q$6*$Q$8*$Q$9*$F43*$B43/1000</f>
        <v>2399.2041812665043</v>
      </c>
      <c r="E43" s="102">
        <f t="shared" si="4"/>
        <v>2303.2988971358727</v>
      </c>
      <c r="F43" s="103">
        <f>0.25*PI()*(B43-0.5*1.876388*C43)^2</f>
        <v>816.72255625902255</v>
      </c>
      <c r="G43" s="104">
        <f>DEGREES(ATAN(C43/(PI()*(B43-0.64952*C43))))</f>
        <v>2.1829867658914228</v>
      </c>
      <c r="H43" s="105">
        <f>B43-C43*0.64952</f>
        <v>33.401919999999997</v>
      </c>
      <c r="I43" s="106">
        <f t="shared" si="5"/>
        <v>444297.07060490828</v>
      </c>
      <c r="J43" s="106">
        <f>H43*$Q$11*B43*PI()*$Q$13</f>
        <v>697508.64787342609</v>
      </c>
      <c r="K43" s="106">
        <f>$Q$15*0.25*PI()*((B43*$Q$17)^2-((B43+$Q$16)^2))</f>
        <v>646588.35807515495</v>
      </c>
      <c r="L43" s="106">
        <f t="shared" si="6"/>
        <v>444297.07060490828</v>
      </c>
      <c r="M43" s="107">
        <f t="shared" si="7"/>
        <v>3.8118753195479867E-2</v>
      </c>
      <c r="N43" s="78"/>
    </row>
    <row r="44" spans="2:14" ht="18.75" x14ac:dyDescent="0.3">
      <c r="N44" s="78"/>
    </row>
    <row r="45" spans="2:14" ht="18.75" x14ac:dyDescent="0.3">
      <c r="N45" s="78"/>
    </row>
    <row r="46" spans="2:14" ht="18.75" x14ac:dyDescent="0.3">
      <c r="N46" s="78"/>
    </row>
    <row r="47" spans="2:14" ht="21" x14ac:dyDescent="0.35">
      <c r="B47" s="98"/>
      <c r="C47" s="98"/>
      <c r="E47" s="72"/>
      <c r="F47" s="72"/>
      <c r="G47" s="72"/>
      <c r="H47" s="72"/>
      <c r="I47" s="72"/>
      <c r="J47" s="72"/>
      <c r="K47" s="72"/>
      <c r="L47" s="72"/>
      <c r="M47" s="72"/>
      <c r="N47" s="78"/>
    </row>
    <row r="48" spans="2:14" ht="18.75" x14ac:dyDescent="0.3">
      <c r="N48" s="78"/>
    </row>
    <row r="49" spans="2:14" ht="18.75" x14ac:dyDescent="0.3">
      <c r="N49" s="78"/>
    </row>
    <row r="50" spans="2:14" ht="21" x14ac:dyDescent="0.35">
      <c r="B50" s="11"/>
      <c r="N50" s="78"/>
    </row>
    <row r="51" spans="2:14" ht="18.75" x14ac:dyDescent="0.3">
      <c r="N51" s="78"/>
    </row>
    <row r="52" spans="2:14" ht="21" x14ac:dyDescent="0.35">
      <c r="B52" s="11"/>
      <c r="E52" s="7"/>
    </row>
    <row r="53" spans="2:14" ht="21" x14ac:dyDescent="0.35">
      <c r="B53" s="11"/>
    </row>
    <row r="55" spans="2:14" ht="21" x14ac:dyDescent="0.35">
      <c r="B55" s="11"/>
    </row>
    <row r="56" spans="2:14" ht="21" x14ac:dyDescent="0.35">
      <c r="B56" s="11"/>
    </row>
    <row r="57" spans="2:14" ht="21" x14ac:dyDescent="0.35">
      <c r="B57" s="11"/>
    </row>
    <row r="58" spans="2:14" ht="21" x14ac:dyDescent="0.35">
      <c r="B58" s="11"/>
    </row>
    <row r="59" spans="2:14" ht="21" x14ac:dyDescent="0.35">
      <c r="B59" s="11"/>
    </row>
    <row r="60" spans="2:14" ht="21" x14ac:dyDescent="0.35">
      <c r="B60" s="11"/>
      <c r="K60" s="7"/>
    </row>
    <row r="61" spans="2:14" ht="21" x14ac:dyDescent="0.35">
      <c r="B61" s="11"/>
    </row>
    <row r="62" spans="2:14" ht="21" x14ac:dyDescent="0.35">
      <c r="B62" s="11"/>
    </row>
    <row r="63" spans="2:14" ht="18.75" x14ac:dyDescent="0.3">
      <c r="B63" s="7"/>
    </row>
    <row r="64" spans="2:14" ht="18.75" x14ac:dyDescent="0.3">
      <c r="B64" s="7"/>
    </row>
    <row r="65" spans="2:2" ht="18.75" x14ac:dyDescent="0.3">
      <c r="B65" s="7"/>
    </row>
    <row r="66" spans="2:2" ht="20.25" customHeight="1" x14ac:dyDescent="0.25"/>
  </sheetData>
  <mergeCells count="4">
    <mergeCell ref="J1:M1"/>
    <mergeCell ref="B4:C4"/>
    <mergeCell ref="B47:C47"/>
    <mergeCell ref="B3:I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5F48-9F74-4979-9F47-3171058A5C5F}">
  <dimension ref="B1:W68"/>
  <sheetViews>
    <sheetView workbookViewId="0">
      <selection activeCell="L13" sqref="L13"/>
    </sheetView>
  </sheetViews>
  <sheetFormatPr baseColWidth="10" defaultRowHeight="15" x14ac:dyDescent="0.25"/>
  <cols>
    <col min="2" max="2" width="21.28515625" customWidth="1"/>
    <col min="3" max="3" width="15.5703125" customWidth="1"/>
    <col min="4" max="4" width="33.85546875" customWidth="1"/>
    <col min="5" max="5" width="15.28515625" customWidth="1"/>
    <col min="6" max="6" width="15.42578125" customWidth="1"/>
    <col min="7" max="17" width="14.85546875" customWidth="1"/>
    <col min="18" max="18" width="31.5703125" customWidth="1"/>
    <col min="23" max="23" width="12.5703125" customWidth="1"/>
  </cols>
  <sheetData>
    <row r="1" spans="2:23" ht="15.75" thickBot="1" x14ac:dyDescent="0.3"/>
    <row r="2" spans="2:23" ht="32.25" thickBot="1" x14ac:dyDescent="0.4">
      <c r="B2" s="14" t="s">
        <v>9</v>
      </c>
      <c r="H2" s="53" t="s">
        <v>11</v>
      </c>
      <c r="I2" s="54"/>
      <c r="J2" s="54"/>
      <c r="K2" s="55"/>
      <c r="M2" s="12" t="s">
        <v>23</v>
      </c>
    </row>
    <row r="3" spans="2:23" ht="15.75" thickBot="1" x14ac:dyDescent="0.3"/>
    <row r="4" spans="2:23" ht="23.25" customHeight="1" thickBot="1" x14ac:dyDescent="0.4">
      <c r="B4" s="52"/>
      <c r="C4" s="52"/>
      <c r="E4" s="49" t="s">
        <v>10</v>
      </c>
      <c r="F4" s="50"/>
      <c r="G4" s="50"/>
      <c r="H4" s="50"/>
      <c r="I4" s="50"/>
      <c r="J4" s="50"/>
      <c r="K4" s="50"/>
      <c r="L4" s="50"/>
      <c r="M4" s="50"/>
      <c r="N4" s="50"/>
      <c r="O4" s="51"/>
      <c r="Q4" s="20" t="s">
        <v>20</v>
      </c>
      <c r="R4" s="21"/>
      <c r="S4" s="22">
        <v>0.18</v>
      </c>
      <c r="T4" s="17"/>
      <c r="U4" s="17"/>
      <c r="V4" s="17"/>
      <c r="W4" s="17"/>
    </row>
    <row r="5" spans="2:23" ht="18.75" x14ac:dyDescent="0.3">
      <c r="B5" s="24" t="s">
        <v>0</v>
      </c>
      <c r="C5" s="25" t="s">
        <v>1</v>
      </c>
      <c r="D5" s="25" t="s">
        <v>2</v>
      </c>
      <c r="E5" s="25" t="s">
        <v>5</v>
      </c>
      <c r="F5" s="25">
        <v>3.6</v>
      </c>
      <c r="G5" s="25">
        <v>4.5999999999999996</v>
      </c>
      <c r="H5" s="25">
        <v>4.8</v>
      </c>
      <c r="I5" s="25">
        <v>5.6</v>
      </c>
      <c r="J5" s="25">
        <v>5.8</v>
      </c>
      <c r="K5" s="25">
        <v>6.8</v>
      </c>
      <c r="L5" s="25">
        <v>8.8000000000000007</v>
      </c>
      <c r="M5" s="25">
        <v>9.8000000000000007</v>
      </c>
      <c r="N5" s="25">
        <v>10.9</v>
      </c>
      <c r="O5" s="26">
        <v>12.9</v>
      </c>
      <c r="P5" s="9"/>
      <c r="Q5" s="4"/>
      <c r="V5" s="18"/>
      <c r="W5" s="18"/>
    </row>
    <row r="6" spans="2:23" ht="18.75" x14ac:dyDescent="0.3">
      <c r="B6" s="1"/>
      <c r="C6" s="2"/>
      <c r="D6" s="2"/>
      <c r="E6" s="2"/>
      <c r="F6" s="2"/>
      <c r="G6" s="5"/>
      <c r="H6" s="5"/>
      <c r="I6" s="5"/>
      <c r="J6" s="5"/>
      <c r="K6" s="5"/>
      <c r="L6" s="5"/>
      <c r="M6" s="5"/>
      <c r="N6" s="5"/>
      <c r="O6" s="10"/>
      <c r="Q6" s="4" t="s">
        <v>21</v>
      </c>
      <c r="V6" s="16"/>
      <c r="W6" s="16"/>
    </row>
    <row r="7" spans="2:23" ht="18.75" x14ac:dyDescent="0.3">
      <c r="B7" s="37">
        <v>3</v>
      </c>
      <c r="C7" s="38">
        <v>0.5</v>
      </c>
      <c r="D7" s="39">
        <f t="shared" ref="D7:D23" si="0">0.25*PI()*(B7-0.5*1.876388*C7)^2</f>
        <v>5.0308443700916898</v>
      </c>
      <c r="E7" s="39">
        <f t="shared" ref="E7:E23" si="1">$S$4*$R$22*$S$33*$D7*$B7/1000</f>
        <v>0.85574662735259632</v>
      </c>
      <c r="F7" s="39">
        <f t="shared" ref="F7:F23" si="2">$S$4*$R$12*$S$33*$D7*$B7/1000</f>
        <v>0.34229865094103851</v>
      </c>
      <c r="G7" s="39">
        <f t="shared" ref="G7:G23" si="3">$S$4*$R$13*$S$33*$D7*$B7/1000</f>
        <v>0.45639820125471808</v>
      </c>
      <c r="H7" s="39">
        <f t="shared" ref="H7:H23" si="4">$S$4*$R$14*$S$33*$D7*$B7/1000</f>
        <v>0.60853093500629074</v>
      </c>
      <c r="I7" s="39">
        <f t="shared" ref="I7:I23" si="5">$S$4*$R$15*$S$33*$D7*$B7/1000</f>
        <v>0.57049775156839755</v>
      </c>
      <c r="J7" s="39">
        <f t="shared" ref="J7:J23" si="6">$S$4*$R$16*$S$33*$D7*$B7/1000</f>
        <v>0.7606636687578634</v>
      </c>
      <c r="K7" s="39">
        <f t="shared" ref="K7:K23" si="7">$S$4*$R$17*$S$33*$D7*$B7/1000</f>
        <v>0.91279640250943617</v>
      </c>
      <c r="L7" s="39">
        <f t="shared" ref="L7:L23" si="8">$S$4*$R$18*$S$33*$D7*$B7/1000</f>
        <v>1.2170618700125815</v>
      </c>
      <c r="M7" s="39">
        <f t="shared" ref="M7:M23" si="9">$S$4*$R$19*$S$33*$D7*$B7/1000</f>
        <v>1.369194603764154</v>
      </c>
      <c r="N7" s="39">
        <f t="shared" ref="N7:N23" si="10">$S$4*$R$20*$S$33*$D7*$B7/1000</f>
        <v>1.7114932547051926</v>
      </c>
      <c r="O7" s="40">
        <f t="shared" ref="O7:O23" si="11">$S$4*$R$21*$S$33*$D7*$B7/1000</f>
        <v>2.0537919056462317</v>
      </c>
      <c r="Q7" s="4"/>
    </row>
    <row r="8" spans="2:23" ht="18.75" x14ac:dyDescent="0.3">
      <c r="B8" s="27">
        <v>4</v>
      </c>
      <c r="C8" s="28">
        <v>0.7</v>
      </c>
      <c r="D8" s="29">
        <f t="shared" si="0"/>
        <v>8.7787216138708395</v>
      </c>
      <c r="E8" s="29">
        <f t="shared" si="1"/>
        <v>1.9910140620259063</v>
      </c>
      <c r="F8" s="29">
        <f t="shared" si="2"/>
        <v>0.79640562481036237</v>
      </c>
      <c r="G8" s="29">
        <f t="shared" si="3"/>
        <v>1.0618741664138165</v>
      </c>
      <c r="H8" s="29">
        <f t="shared" si="4"/>
        <v>1.4158322218850887</v>
      </c>
      <c r="I8" s="29">
        <f t="shared" si="5"/>
        <v>1.3273427080172708</v>
      </c>
      <c r="J8" s="29">
        <f t="shared" si="6"/>
        <v>1.7697902773563612</v>
      </c>
      <c r="K8" s="29">
        <f t="shared" si="7"/>
        <v>2.123748332827633</v>
      </c>
      <c r="L8" s="29">
        <f t="shared" si="8"/>
        <v>2.8316644437701775</v>
      </c>
      <c r="M8" s="29">
        <f t="shared" si="9"/>
        <v>3.1856224992414495</v>
      </c>
      <c r="N8" s="29">
        <f t="shared" si="10"/>
        <v>3.9820281240518125</v>
      </c>
      <c r="O8" s="30">
        <f t="shared" si="11"/>
        <v>4.7784337488621746</v>
      </c>
      <c r="Q8" s="4" t="s">
        <v>22</v>
      </c>
    </row>
    <row r="9" spans="2:23" ht="18.75" x14ac:dyDescent="0.3">
      <c r="B9" s="37">
        <v>5</v>
      </c>
      <c r="C9" s="38">
        <v>0.8</v>
      </c>
      <c r="D9" s="39">
        <f t="shared" si="0"/>
        <v>14.182548117450365</v>
      </c>
      <c r="E9" s="39">
        <f t="shared" si="1"/>
        <v>4.0207523912971785</v>
      </c>
      <c r="F9" s="39">
        <f t="shared" si="2"/>
        <v>1.6083009565188713</v>
      </c>
      <c r="G9" s="39">
        <f t="shared" si="3"/>
        <v>2.1444012753584949</v>
      </c>
      <c r="H9" s="39">
        <f t="shared" si="4"/>
        <v>2.859201700477993</v>
      </c>
      <c r="I9" s="39">
        <f t="shared" si="5"/>
        <v>2.6805015941981183</v>
      </c>
      <c r="J9" s="39">
        <f t="shared" si="6"/>
        <v>3.5740021255974921</v>
      </c>
      <c r="K9" s="39">
        <f t="shared" si="7"/>
        <v>4.2888025507169898</v>
      </c>
      <c r="L9" s="39">
        <f t="shared" si="8"/>
        <v>5.7184034009559861</v>
      </c>
      <c r="M9" s="39">
        <f t="shared" si="9"/>
        <v>6.4332038260754851</v>
      </c>
      <c r="N9" s="39">
        <f t="shared" si="10"/>
        <v>8.0415047825943571</v>
      </c>
      <c r="O9" s="40">
        <f t="shared" si="11"/>
        <v>9.6498057391132281</v>
      </c>
      <c r="Q9" s="16"/>
      <c r="R9" s="16"/>
      <c r="S9" s="16"/>
      <c r="T9" s="18"/>
      <c r="U9" s="18"/>
    </row>
    <row r="10" spans="2:23" ht="18.75" x14ac:dyDescent="0.3">
      <c r="B10" s="27">
        <v>6</v>
      </c>
      <c r="C10" s="28">
        <v>1</v>
      </c>
      <c r="D10" s="29">
        <f t="shared" si="0"/>
        <v>20.123377480366759</v>
      </c>
      <c r="E10" s="29">
        <f t="shared" si="1"/>
        <v>6.8459730188207706</v>
      </c>
      <c r="F10" s="29">
        <f t="shared" si="2"/>
        <v>2.7383892075283081</v>
      </c>
      <c r="G10" s="29">
        <f t="shared" si="3"/>
        <v>3.6511856100377447</v>
      </c>
      <c r="H10" s="29">
        <f t="shared" si="4"/>
        <v>4.8682474800503259</v>
      </c>
      <c r="I10" s="29">
        <f t="shared" si="5"/>
        <v>4.5639820125471804</v>
      </c>
      <c r="J10" s="29">
        <f t="shared" si="6"/>
        <v>6.0853093500629072</v>
      </c>
      <c r="K10" s="29">
        <f t="shared" si="7"/>
        <v>7.3023712200754893</v>
      </c>
      <c r="L10" s="29">
        <f t="shared" si="8"/>
        <v>9.7364949601006519</v>
      </c>
      <c r="M10" s="29">
        <f t="shared" si="9"/>
        <v>10.953556830113232</v>
      </c>
      <c r="N10" s="29">
        <f t="shared" si="10"/>
        <v>13.691946037641541</v>
      </c>
      <c r="O10" s="30">
        <f t="shared" si="11"/>
        <v>16.430335245169854</v>
      </c>
      <c r="Q10" s="3" t="s">
        <v>7</v>
      </c>
      <c r="T10" s="16"/>
      <c r="U10" s="16"/>
    </row>
    <row r="11" spans="2:23" ht="18.75" x14ac:dyDescent="0.3">
      <c r="B11" s="37">
        <v>8</v>
      </c>
      <c r="C11" s="38">
        <v>1.25</v>
      </c>
      <c r="D11" s="39">
        <f t="shared" si="0"/>
        <v>36.608543273765157</v>
      </c>
      <c r="E11" s="39">
        <f t="shared" si="1"/>
        <v>16.605635228979875</v>
      </c>
      <c r="F11" s="39">
        <f t="shared" si="2"/>
        <v>6.6422540915919486</v>
      </c>
      <c r="G11" s="39">
        <f t="shared" si="3"/>
        <v>8.8563387887892659</v>
      </c>
      <c r="H11" s="39">
        <f t="shared" si="4"/>
        <v>11.808451718385689</v>
      </c>
      <c r="I11" s="39">
        <f t="shared" si="5"/>
        <v>11.070423485986582</v>
      </c>
      <c r="J11" s="39">
        <f t="shared" si="6"/>
        <v>14.760564647982111</v>
      </c>
      <c r="K11" s="39">
        <f t="shared" si="7"/>
        <v>17.712677577578532</v>
      </c>
      <c r="L11" s="39">
        <f t="shared" si="8"/>
        <v>23.616903436771377</v>
      </c>
      <c r="M11" s="39">
        <f t="shared" si="9"/>
        <v>26.569016366367794</v>
      </c>
      <c r="N11" s="39">
        <f t="shared" si="10"/>
        <v>33.211270457959749</v>
      </c>
      <c r="O11" s="40">
        <f t="shared" si="11"/>
        <v>39.853524549551693</v>
      </c>
      <c r="Q11" s="15" t="s">
        <v>6</v>
      </c>
      <c r="R11" s="15" t="s">
        <v>8</v>
      </c>
    </row>
    <row r="12" spans="2:23" ht="18.75" x14ac:dyDescent="0.3">
      <c r="B12" s="27">
        <v>10</v>
      </c>
      <c r="C12" s="28">
        <v>1.5</v>
      </c>
      <c r="D12" s="29">
        <f t="shared" si="0"/>
        <v>57.989596901845204</v>
      </c>
      <c r="E12" s="29">
        <f t="shared" si="1"/>
        <v>32.880101443346227</v>
      </c>
      <c r="F12" s="29">
        <f t="shared" si="2"/>
        <v>13.152040577338488</v>
      </c>
      <c r="G12" s="29">
        <f t="shared" si="3"/>
        <v>17.536054103117987</v>
      </c>
      <c r="H12" s="29">
        <f t="shared" si="4"/>
        <v>23.381405470823985</v>
      </c>
      <c r="I12" s="29">
        <f t="shared" si="5"/>
        <v>21.920067628897485</v>
      </c>
      <c r="J12" s="29">
        <f t="shared" si="6"/>
        <v>29.226756838529983</v>
      </c>
      <c r="K12" s="29">
        <f t="shared" si="7"/>
        <v>35.072108206235974</v>
      </c>
      <c r="L12" s="29">
        <f t="shared" si="8"/>
        <v>46.76281094164797</v>
      </c>
      <c r="M12" s="29">
        <f t="shared" si="9"/>
        <v>52.608162309353951</v>
      </c>
      <c r="N12" s="29">
        <f t="shared" si="10"/>
        <v>65.760202886692454</v>
      </c>
      <c r="O12" s="30">
        <f t="shared" si="11"/>
        <v>78.912243464030936</v>
      </c>
      <c r="Q12" s="8">
        <v>3.6</v>
      </c>
      <c r="R12" s="6">
        <v>180</v>
      </c>
    </row>
    <row r="13" spans="2:23" ht="18.75" x14ac:dyDescent="0.3">
      <c r="B13" s="37">
        <v>12</v>
      </c>
      <c r="C13" s="38">
        <v>1.75</v>
      </c>
      <c r="D13" s="39">
        <f t="shared" si="0"/>
        <v>84.26653836460693</v>
      </c>
      <c r="E13" s="41">
        <f t="shared" si="1"/>
        <v>57.334952703278546</v>
      </c>
      <c r="F13" s="41">
        <f t="shared" si="2"/>
        <v>22.933981081311416</v>
      </c>
      <c r="G13" s="41">
        <f t="shared" si="3"/>
        <v>30.578641441748559</v>
      </c>
      <c r="H13" s="41">
        <f t="shared" si="4"/>
        <v>40.771521922331409</v>
      </c>
      <c r="I13" s="41">
        <f t="shared" si="5"/>
        <v>38.223301802185702</v>
      </c>
      <c r="J13" s="41">
        <f t="shared" si="6"/>
        <v>50.964402402914274</v>
      </c>
      <c r="K13" s="41">
        <f t="shared" si="7"/>
        <v>61.157282883497118</v>
      </c>
      <c r="L13" s="41">
        <f t="shared" si="8"/>
        <v>81.543043844662819</v>
      </c>
      <c r="M13" s="41">
        <f t="shared" si="9"/>
        <v>91.735924325245662</v>
      </c>
      <c r="N13" s="41">
        <f t="shared" si="10"/>
        <v>114.66990540655709</v>
      </c>
      <c r="O13" s="42">
        <f t="shared" si="11"/>
        <v>137.60388648786852</v>
      </c>
      <c r="Q13" s="8">
        <v>4.5999999999999996</v>
      </c>
      <c r="R13" s="6">
        <v>240</v>
      </c>
    </row>
    <row r="14" spans="2:23" ht="18.75" x14ac:dyDescent="0.3">
      <c r="B14" s="27">
        <v>14</v>
      </c>
      <c r="C14" s="28">
        <v>2</v>
      </c>
      <c r="D14" s="29">
        <f t="shared" si="0"/>
        <v>115.4393676620503</v>
      </c>
      <c r="E14" s="31">
        <f t="shared" si="1"/>
        <v>91.635770050135534</v>
      </c>
      <c r="F14" s="31">
        <f t="shared" si="2"/>
        <v>36.654308020054209</v>
      </c>
      <c r="G14" s="31">
        <f t="shared" si="3"/>
        <v>48.872410693405605</v>
      </c>
      <c r="H14" s="31">
        <f t="shared" si="4"/>
        <v>65.163214257874145</v>
      </c>
      <c r="I14" s="31">
        <f t="shared" si="5"/>
        <v>61.090513366757008</v>
      </c>
      <c r="J14" s="31">
        <f t="shared" si="6"/>
        <v>81.454017822342692</v>
      </c>
      <c r="K14" s="31">
        <f t="shared" si="7"/>
        <v>97.744821386811211</v>
      </c>
      <c r="L14" s="31">
        <f t="shared" si="8"/>
        <v>130.32642851574829</v>
      </c>
      <c r="M14" s="31">
        <f t="shared" si="9"/>
        <v>146.61723208021684</v>
      </c>
      <c r="N14" s="31">
        <f t="shared" si="10"/>
        <v>183.27154010027107</v>
      </c>
      <c r="O14" s="32">
        <f t="shared" si="11"/>
        <v>219.92584812032524</v>
      </c>
      <c r="Q14" s="8">
        <v>4.8</v>
      </c>
      <c r="R14" s="6">
        <v>320</v>
      </c>
    </row>
    <row r="15" spans="2:23" ht="18.75" x14ac:dyDescent="0.3">
      <c r="B15" s="37">
        <v>16</v>
      </c>
      <c r="C15" s="38">
        <v>2</v>
      </c>
      <c r="D15" s="39">
        <f t="shared" si="0"/>
        <v>156.66841070981314</v>
      </c>
      <c r="E15" s="41">
        <f t="shared" si="1"/>
        <v>142.12958219594248</v>
      </c>
      <c r="F15" s="41">
        <f t="shared" si="2"/>
        <v>56.851832878376982</v>
      </c>
      <c r="G15" s="41">
        <f t="shared" si="3"/>
        <v>75.80244383783598</v>
      </c>
      <c r="H15" s="41">
        <f t="shared" si="4"/>
        <v>101.06992511711465</v>
      </c>
      <c r="I15" s="41">
        <f t="shared" si="5"/>
        <v>94.753054797294993</v>
      </c>
      <c r="J15" s="41">
        <f t="shared" si="6"/>
        <v>126.33740639639332</v>
      </c>
      <c r="K15" s="41">
        <f t="shared" si="7"/>
        <v>151.60488767567196</v>
      </c>
      <c r="L15" s="41">
        <f t="shared" si="8"/>
        <v>202.1398502342293</v>
      </c>
      <c r="M15" s="41">
        <f t="shared" si="9"/>
        <v>227.40733151350793</v>
      </c>
      <c r="N15" s="41">
        <f t="shared" si="10"/>
        <v>284.25916439188495</v>
      </c>
      <c r="O15" s="42">
        <f t="shared" si="11"/>
        <v>341.11099727026192</v>
      </c>
      <c r="Q15" s="8">
        <v>5.6</v>
      </c>
      <c r="R15" s="6">
        <v>300</v>
      </c>
    </row>
    <row r="16" spans="2:23" ht="18.75" x14ac:dyDescent="0.3">
      <c r="B16" s="27">
        <v>18</v>
      </c>
      <c r="C16" s="28">
        <v>2.5</v>
      </c>
      <c r="D16" s="29">
        <f t="shared" si="0"/>
        <v>192.47268976098206</v>
      </c>
      <c r="E16" s="31">
        <f t="shared" si="1"/>
        <v>196.43762717005828</v>
      </c>
      <c r="F16" s="31">
        <f t="shared" si="2"/>
        <v>78.575050868023297</v>
      </c>
      <c r="G16" s="31">
        <f t="shared" si="3"/>
        <v>104.76673449069774</v>
      </c>
      <c r="H16" s="31">
        <f t="shared" si="4"/>
        <v>139.68897932093031</v>
      </c>
      <c r="I16" s="31">
        <f t="shared" si="5"/>
        <v>130.9584181133722</v>
      </c>
      <c r="J16" s="31">
        <f t="shared" si="6"/>
        <v>174.61122415116293</v>
      </c>
      <c r="K16" s="31">
        <f t="shared" si="7"/>
        <v>209.53346898139549</v>
      </c>
      <c r="L16" s="31">
        <f t="shared" si="8"/>
        <v>279.37795864186063</v>
      </c>
      <c r="M16" s="31">
        <f t="shared" si="9"/>
        <v>314.30020347209319</v>
      </c>
      <c r="N16" s="31">
        <f t="shared" si="10"/>
        <v>392.87525434011656</v>
      </c>
      <c r="O16" s="32">
        <f t="shared" si="11"/>
        <v>471.45030520813981</v>
      </c>
      <c r="Q16" s="8">
        <v>5.8</v>
      </c>
      <c r="R16" s="6">
        <v>400</v>
      </c>
    </row>
    <row r="17" spans="2:18" ht="18.75" x14ac:dyDescent="0.3">
      <c r="B17" s="37">
        <v>20</v>
      </c>
      <c r="C17" s="38">
        <v>2.5</v>
      </c>
      <c r="D17" s="39">
        <f t="shared" si="0"/>
        <v>244.79439173408306</v>
      </c>
      <c r="E17" s="41">
        <f t="shared" si="1"/>
        <v>277.59684022645018</v>
      </c>
      <c r="F17" s="41">
        <f t="shared" si="2"/>
        <v>111.03873609058006</v>
      </c>
      <c r="G17" s="41">
        <f t="shared" si="3"/>
        <v>148.05164812077339</v>
      </c>
      <c r="H17" s="41">
        <f t="shared" si="4"/>
        <v>197.40219749436454</v>
      </c>
      <c r="I17" s="41">
        <f t="shared" si="5"/>
        <v>185.0645601509668</v>
      </c>
      <c r="J17" s="41">
        <f t="shared" si="6"/>
        <v>246.75274686795572</v>
      </c>
      <c r="K17" s="41">
        <f t="shared" si="7"/>
        <v>296.10329624154679</v>
      </c>
      <c r="L17" s="41">
        <f t="shared" si="8"/>
        <v>394.80439498872909</v>
      </c>
      <c r="M17" s="41">
        <f t="shared" si="9"/>
        <v>444.15494436232024</v>
      </c>
      <c r="N17" s="41">
        <f t="shared" si="10"/>
        <v>555.19368045290037</v>
      </c>
      <c r="O17" s="42">
        <f t="shared" si="11"/>
        <v>666.23241654348033</v>
      </c>
      <c r="Q17" s="8">
        <v>6.8</v>
      </c>
      <c r="R17" s="6">
        <v>480</v>
      </c>
    </row>
    <row r="18" spans="2:18" ht="18.75" x14ac:dyDescent="0.3">
      <c r="B18" s="27">
        <v>22</v>
      </c>
      <c r="C18" s="28">
        <v>2.5</v>
      </c>
      <c r="D18" s="29">
        <f t="shared" si="0"/>
        <v>303.39927901436369</v>
      </c>
      <c r="E18" s="31">
        <f t="shared" si="1"/>
        <v>378.46026064251726</v>
      </c>
      <c r="F18" s="31">
        <f t="shared" si="2"/>
        <v>151.38410425700687</v>
      </c>
      <c r="G18" s="31">
        <f t="shared" si="3"/>
        <v>201.84547234267583</v>
      </c>
      <c r="H18" s="31">
        <f t="shared" si="4"/>
        <v>269.12729645690115</v>
      </c>
      <c r="I18" s="31">
        <f t="shared" si="5"/>
        <v>252.30684042834483</v>
      </c>
      <c r="J18" s="31">
        <f t="shared" si="6"/>
        <v>336.40912057112644</v>
      </c>
      <c r="K18" s="31">
        <f t="shared" si="7"/>
        <v>403.69094468535167</v>
      </c>
      <c r="L18" s="31">
        <f t="shared" si="8"/>
        <v>538.2545929138023</v>
      </c>
      <c r="M18" s="31">
        <f t="shared" si="9"/>
        <v>605.53641702802747</v>
      </c>
      <c r="N18" s="31">
        <f t="shared" si="10"/>
        <v>756.92052128503451</v>
      </c>
      <c r="O18" s="32">
        <f t="shared" si="11"/>
        <v>908.30462554204144</v>
      </c>
      <c r="Q18" s="8">
        <v>8.8000000000000007</v>
      </c>
      <c r="R18" s="6">
        <v>640</v>
      </c>
    </row>
    <row r="19" spans="2:18" ht="18.75" x14ac:dyDescent="0.3">
      <c r="B19" s="37">
        <v>24</v>
      </c>
      <c r="C19" s="38">
        <v>3</v>
      </c>
      <c r="D19" s="39">
        <f t="shared" si="0"/>
        <v>352.50392409707956</v>
      </c>
      <c r="E19" s="41">
        <f t="shared" si="1"/>
        <v>479.6873399113058</v>
      </c>
      <c r="F19" s="41">
        <f t="shared" si="2"/>
        <v>191.87493596452234</v>
      </c>
      <c r="G19" s="41">
        <f t="shared" si="3"/>
        <v>255.83324795269641</v>
      </c>
      <c r="H19" s="41">
        <f t="shared" si="4"/>
        <v>341.11099727026186</v>
      </c>
      <c r="I19" s="41">
        <f t="shared" si="5"/>
        <v>319.79155994087057</v>
      </c>
      <c r="J19" s="41">
        <f t="shared" si="6"/>
        <v>426.38874658782737</v>
      </c>
      <c r="K19" s="41">
        <f t="shared" si="7"/>
        <v>511.66649590539282</v>
      </c>
      <c r="L19" s="41">
        <f t="shared" si="8"/>
        <v>682.22199454052372</v>
      </c>
      <c r="M19" s="41">
        <f t="shared" si="9"/>
        <v>767.49974385808935</v>
      </c>
      <c r="N19" s="41">
        <f t="shared" si="10"/>
        <v>959.3746798226116</v>
      </c>
      <c r="O19" s="42">
        <f t="shared" si="11"/>
        <v>1151.249615787134</v>
      </c>
      <c r="Q19" s="8">
        <v>9.8000000000000007</v>
      </c>
      <c r="R19" s="6">
        <v>720</v>
      </c>
    </row>
    <row r="20" spans="2:18" ht="18.75" x14ac:dyDescent="0.3">
      <c r="B20" s="27">
        <v>27</v>
      </c>
      <c r="C20" s="28">
        <v>3</v>
      </c>
      <c r="D20" s="29">
        <f t="shared" si="0"/>
        <v>459.40643789569998</v>
      </c>
      <c r="E20" s="31">
        <f t="shared" si="1"/>
        <v>703.305315774527</v>
      </c>
      <c r="F20" s="31">
        <f t="shared" si="2"/>
        <v>281.32212630981081</v>
      </c>
      <c r="G20" s="31">
        <f t="shared" si="3"/>
        <v>375.0961684130811</v>
      </c>
      <c r="H20" s="31">
        <f t="shared" si="4"/>
        <v>500.1282245507748</v>
      </c>
      <c r="I20" s="31">
        <f t="shared" si="5"/>
        <v>468.87021051635139</v>
      </c>
      <c r="J20" s="31">
        <f t="shared" si="6"/>
        <v>625.16028068846845</v>
      </c>
      <c r="K20" s="31">
        <f t="shared" si="7"/>
        <v>750.1923368261622</v>
      </c>
      <c r="L20" s="31">
        <f t="shared" si="8"/>
        <v>1000.2564491015496</v>
      </c>
      <c r="M20" s="31">
        <f t="shared" si="9"/>
        <v>1125.2885052392432</v>
      </c>
      <c r="N20" s="31">
        <f t="shared" si="10"/>
        <v>1406.610631549054</v>
      </c>
      <c r="O20" s="32">
        <f t="shared" si="11"/>
        <v>1687.932757858865</v>
      </c>
      <c r="Q20" s="8">
        <v>10.9</v>
      </c>
      <c r="R20" s="6">
        <v>900</v>
      </c>
    </row>
    <row r="21" spans="2:18" ht="18.75" x14ac:dyDescent="0.3">
      <c r="B21" s="37">
        <v>30</v>
      </c>
      <c r="C21" s="38">
        <v>3.5</v>
      </c>
      <c r="D21" s="39">
        <f t="shared" si="0"/>
        <v>560.58721292975974</v>
      </c>
      <c r="E21" s="41">
        <f t="shared" si="1"/>
        <v>953.55884919352127</v>
      </c>
      <c r="F21" s="41">
        <f t="shared" si="2"/>
        <v>381.42353967740848</v>
      </c>
      <c r="G21" s="41">
        <f t="shared" si="3"/>
        <v>508.56471956987798</v>
      </c>
      <c r="H21" s="41">
        <f t="shared" si="4"/>
        <v>678.08629275983719</v>
      </c>
      <c r="I21" s="41">
        <f t="shared" si="5"/>
        <v>635.70589946234747</v>
      </c>
      <c r="J21" s="41">
        <f t="shared" si="6"/>
        <v>847.60786594979675</v>
      </c>
      <c r="K21" s="41">
        <f t="shared" si="7"/>
        <v>1017.129439139756</v>
      </c>
      <c r="L21" s="41">
        <f t="shared" si="8"/>
        <v>1356.1725855196744</v>
      </c>
      <c r="M21" s="41">
        <f t="shared" si="9"/>
        <v>1525.6941587096339</v>
      </c>
      <c r="N21" s="41">
        <f t="shared" si="10"/>
        <v>1907.1176983870425</v>
      </c>
      <c r="O21" s="42">
        <f t="shared" si="11"/>
        <v>2288.5412380644507</v>
      </c>
      <c r="Q21" s="8">
        <v>12.9</v>
      </c>
      <c r="R21" s="6">
        <v>1080</v>
      </c>
    </row>
    <row r="22" spans="2:18" ht="18.75" x14ac:dyDescent="0.3">
      <c r="B22" s="27">
        <v>33</v>
      </c>
      <c r="C22" s="28">
        <v>3.5</v>
      </c>
      <c r="D22" s="29">
        <f t="shared" si="0"/>
        <v>693.55349307715687</v>
      </c>
      <c r="E22" s="31">
        <f t="shared" si="1"/>
        <v>1297.7079408966681</v>
      </c>
      <c r="F22" s="31">
        <f t="shared" si="2"/>
        <v>519.08317635866717</v>
      </c>
      <c r="G22" s="31">
        <f t="shared" si="3"/>
        <v>692.11090181155635</v>
      </c>
      <c r="H22" s="31">
        <f t="shared" si="4"/>
        <v>922.81453574874172</v>
      </c>
      <c r="I22" s="31">
        <f t="shared" si="5"/>
        <v>865.1386272644454</v>
      </c>
      <c r="J22" s="31">
        <f t="shared" si="6"/>
        <v>1153.5181696859274</v>
      </c>
      <c r="K22" s="31">
        <f t="shared" si="7"/>
        <v>1384.2218036231127</v>
      </c>
      <c r="L22" s="31">
        <f t="shared" si="8"/>
        <v>1845.6290714974834</v>
      </c>
      <c r="M22" s="31">
        <f t="shared" si="9"/>
        <v>2076.3327054346687</v>
      </c>
      <c r="N22" s="31">
        <f t="shared" si="10"/>
        <v>2595.4158817933362</v>
      </c>
      <c r="O22" s="32">
        <f t="shared" si="11"/>
        <v>3114.4990581520033</v>
      </c>
      <c r="Q22" s="8" t="s">
        <v>5</v>
      </c>
      <c r="R22" s="6">
        <v>450</v>
      </c>
    </row>
    <row r="23" spans="2:18" ht="19.5" thickBot="1" x14ac:dyDescent="0.35">
      <c r="B23" s="43">
        <v>36</v>
      </c>
      <c r="C23" s="44">
        <v>4</v>
      </c>
      <c r="D23" s="48">
        <f t="shared" si="0"/>
        <v>816.72255625902255</v>
      </c>
      <c r="E23" s="45">
        <f t="shared" si="1"/>
        <v>1667.0940818359168</v>
      </c>
      <c r="F23" s="45">
        <f t="shared" si="2"/>
        <v>666.83763273436671</v>
      </c>
      <c r="G23" s="45">
        <f t="shared" si="3"/>
        <v>889.11684364582209</v>
      </c>
      <c r="H23" s="45">
        <f t="shared" si="4"/>
        <v>1185.4891248610963</v>
      </c>
      <c r="I23" s="45">
        <f t="shared" si="5"/>
        <v>1111.3960545572779</v>
      </c>
      <c r="J23" s="45">
        <f t="shared" si="6"/>
        <v>1481.8614060763705</v>
      </c>
      <c r="K23" s="45">
        <f t="shared" si="7"/>
        <v>1778.2336872916442</v>
      </c>
      <c r="L23" s="45">
        <f t="shared" si="8"/>
        <v>2370.9782497221927</v>
      </c>
      <c r="M23" s="45">
        <f t="shared" si="9"/>
        <v>2667.3505309374668</v>
      </c>
      <c r="N23" s="45">
        <f t="shared" si="10"/>
        <v>3334.1881636718335</v>
      </c>
      <c r="O23" s="46">
        <f t="shared" si="11"/>
        <v>4001.0257964062002</v>
      </c>
    </row>
    <row r="25" spans="2:18" ht="21.75" thickBot="1" x14ac:dyDescent="0.4">
      <c r="Q25" s="23" t="s">
        <v>32</v>
      </c>
    </row>
    <row r="26" spans="2:18" ht="32.25" thickBot="1" x14ac:dyDescent="0.3">
      <c r="B26" s="14" t="s">
        <v>13</v>
      </c>
      <c r="E26" s="56" t="s">
        <v>14</v>
      </c>
      <c r="F26" s="57"/>
      <c r="G26" s="57"/>
      <c r="H26" s="57"/>
      <c r="I26" s="57"/>
      <c r="J26" s="57"/>
      <c r="K26" s="57"/>
      <c r="L26" s="57"/>
      <c r="M26" s="57"/>
      <c r="N26" s="57"/>
      <c r="O26" s="58"/>
    </row>
    <row r="27" spans="2:18" ht="19.5" thickBot="1" x14ac:dyDescent="0.3">
      <c r="Q27" s="4" t="s">
        <v>3</v>
      </c>
    </row>
    <row r="28" spans="2:18" ht="21.75" thickBot="1" x14ac:dyDescent="0.4">
      <c r="B28" s="52"/>
      <c r="C28" s="52"/>
      <c r="E28" s="49" t="s">
        <v>10</v>
      </c>
      <c r="F28" s="50"/>
      <c r="G28" s="50"/>
      <c r="H28" s="50"/>
      <c r="I28" s="50"/>
      <c r="J28" s="50"/>
      <c r="K28" s="50"/>
      <c r="L28" s="50"/>
      <c r="M28" s="50"/>
      <c r="N28" s="50"/>
      <c r="O28" s="51"/>
      <c r="Q28" s="4" t="s">
        <v>12</v>
      </c>
    </row>
    <row r="29" spans="2:18" ht="18.75" x14ac:dyDescent="0.3">
      <c r="B29" s="24" t="s">
        <v>0</v>
      </c>
      <c r="C29" s="25" t="s">
        <v>1</v>
      </c>
      <c r="D29" s="25" t="s">
        <v>2</v>
      </c>
      <c r="E29" s="25" t="s">
        <v>5</v>
      </c>
      <c r="F29" s="25">
        <v>3.6</v>
      </c>
      <c r="G29" s="25">
        <v>4.5999999999999996</v>
      </c>
      <c r="H29" s="25">
        <v>4.8</v>
      </c>
      <c r="I29" s="25">
        <v>5.6</v>
      </c>
      <c r="J29" s="25">
        <v>5.8</v>
      </c>
      <c r="K29" s="25">
        <v>6.8</v>
      </c>
      <c r="L29" s="25">
        <v>8.8000000000000007</v>
      </c>
      <c r="M29" s="25">
        <v>9.8000000000000007</v>
      </c>
      <c r="N29" s="25">
        <v>10.9</v>
      </c>
      <c r="O29" s="26">
        <v>12.9</v>
      </c>
      <c r="Q29" s="4" t="s">
        <v>19</v>
      </c>
    </row>
    <row r="30" spans="2:18" ht="18.75" x14ac:dyDescent="0.3">
      <c r="B30" s="1"/>
      <c r="C30" s="2"/>
      <c r="D30" s="2"/>
      <c r="E30" s="2"/>
      <c r="F30" s="2"/>
      <c r="G30" s="5"/>
      <c r="H30" s="5"/>
      <c r="I30" s="5"/>
      <c r="J30" s="5"/>
      <c r="K30" s="5"/>
      <c r="L30" s="5"/>
      <c r="M30" s="5"/>
      <c r="N30" s="5"/>
      <c r="O30" s="10"/>
      <c r="Q30" s="4"/>
    </row>
    <row r="31" spans="2:18" ht="18.75" x14ac:dyDescent="0.3">
      <c r="B31" s="37">
        <v>3</v>
      </c>
      <c r="C31" s="38">
        <v>0.35</v>
      </c>
      <c r="D31" s="39">
        <f t="shared" ref="D31:D50" si="12">0.25*PI()*(B31-0.5*1.876388*C31)^2</f>
        <v>5.6058721292975973</v>
      </c>
      <c r="E31" s="39">
        <f t="shared" ref="E31:E50" si="13">$S$4*$R$22*$S$33*$D31*$B31/1000</f>
        <v>0.95355884919352119</v>
      </c>
      <c r="F31" s="39">
        <f t="shared" ref="F31:F50" si="14">$S$4*$R$12*$S$33*$D31*$B31/1000</f>
        <v>0.38142353967740844</v>
      </c>
      <c r="G31" s="39">
        <f t="shared" ref="G31:G50" si="15">$S$4*$R$13*$S$33*$D31*$B31/1000</f>
        <v>0.50856471956987803</v>
      </c>
      <c r="H31" s="39">
        <f t="shared" ref="H31:H50" si="16">$S$4*$R$14*$S$33*$D31*$B31/1000</f>
        <v>0.67808629275983734</v>
      </c>
      <c r="I31" s="39">
        <f t="shared" ref="I31:I50" si="17">$S$4*$R$15*$S$33*$D31*$B31/1000</f>
        <v>0.63570589946234746</v>
      </c>
      <c r="J31" s="39">
        <f t="shared" ref="J31:J50" si="18">$S$4*$R$16*$S$33*$D31*$B31/1000</f>
        <v>0.84760786594979676</v>
      </c>
      <c r="K31" s="39">
        <f t="shared" ref="K31:K50" si="19">$S$4*$R$17*$S$33*$D31*$B31/1000</f>
        <v>1.0171294391397561</v>
      </c>
      <c r="L31" s="39">
        <f t="shared" ref="L31:L50" si="20">$S$4*$R$18*$S$33*$D31*$B31/1000</f>
        <v>1.3561725855196747</v>
      </c>
      <c r="M31" s="39">
        <f t="shared" ref="M31:M50" si="21">$S$4*$R$19*$S$33*$D31*$B31/1000</f>
        <v>1.5256941587096338</v>
      </c>
      <c r="N31" s="39">
        <f t="shared" ref="N31:N50" si="22">$S$4*$R$20*$S$33*$D31*$B31/1000</f>
        <v>1.9071176983870424</v>
      </c>
      <c r="O31" s="40">
        <f t="shared" ref="O31:O50" si="23">$S$4*$R$21*$S$33*$D31*$B31/1000</f>
        <v>2.2885412380644512</v>
      </c>
      <c r="Q31" s="4"/>
    </row>
    <row r="32" spans="2:18" ht="18.75" x14ac:dyDescent="0.3">
      <c r="B32" s="27">
        <v>4</v>
      </c>
      <c r="C32" s="28">
        <v>0.5</v>
      </c>
      <c r="D32" s="29">
        <f t="shared" si="12"/>
        <v>9.7917756693633216</v>
      </c>
      <c r="E32" s="29">
        <f t="shared" si="13"/>
        <v>2.2207747218116012</v>
      </c>
      <c r="F32" s="29">
        <f t="shared" si="14"/>
        <v>0.88830988872464034</v>
      </c>
      <c r="G32" s="29">
        <f t="shared" si="15"/>
        <v>1.1844131849661872</v>
      </c>
      <c r="H32" s="29">
        <f t="shared" si="16"/>
        <v>1.5792175799549164</v>
      </c>
      <c r="I32" s="29">
        <f t="shared" si="17"/>
        <v>1.4805164812077343</v>
      </c>
      <c r="J32" s="29">
        <f t="shared" si="18"/>
        <v>1.9740219749436456</v>
      </c>
      <c r="K32" s="29">
        <f t="shared" si="19"/>
        <v>2.3688263699323744</v>
      </c>
      <c r="L32" s="29">
        <f t="shared" si="20"/>
        <v>3.1584351599098328</v>
      </c>
      <c r="M32" s="29">
        <f t="shared" si="21"/>
        <v>3.5532395548985614</v>
      </c>
      <c r="N32" s="29">
        <f t="shared" si="22"/>
        <v>4.4415494436232024</v>
      </c>
      <c r="O32" s="30">
        <f t="shared" si="23"/>
        <v>5.3298593323478425</v>
      </c>
      <c r="Q32" s="3" t="s">
        <v>15</v>
      </c>
    </row>
    <row r="33" spans="2:19" ht="18.75" x14ac:dyDescent="0.3">
      <c r="B33" s="37">
        <v>5</v>
      </c>
      <c r="C33" s="38">
        <v>0.5</v>
      </c>
      <c r="D33" s="39">
        <f t="shared" si="12"/>
        <v>16.123503295429856</v>
      </c>
      <c r="E33" s="39">
        <f t="shared" si="13"/>
        <v>4.5710131842543635</v>
      </c>
      <c r="F33" s="39">
        <f t="shared" si="14"/>
        <v>1.8284052737017453</v>
      </c>
      <c r="G33" s="39">
        <f t="shared" si="15"/>
        <v>2.4378736982689939</v>
      </c>
      <c r="H33" s="39">
        <f t="shared" si="16"/>
        <v>3.250498264358658</v>
      </c>
      <c r="I33" s="39">
        <f t="shared" si="17"/>
        <v>3.0473421228362421</v>
      </c>
      <c r="J33" s="39">
        <f t="shared" si="18"/>
        <v>4.0631228304483242</v>
      </c>
      <c r="K33" s="39">
        <f t="shared" si="19"/>
        <v>4.8757473965379878</v>
      </c>
      <c r="L33" s="39">
        <f t="shared" si="20"/>
        <v>6.5009965287173159</v>
      </c>
      <c r="M33" s="39">
        <f t="shared" si="21"/>
        <v>7.3136210948069813</v>
      </c>
      <c r="N33" s="39">
        <f t="shared" si="22"/>
        <v>9.1420263685087271</v>
      </c>
      <c r="O33" s="40">
        <f t="shared" si="23"/>
        <v>10.970431642210475</v>
      </c>
      <c r="Q33" s="13" t="s">
        <v>4</v>
      </c>
      <c r="R33" s="13"/>
      <c r="S33" s="19">
        <v>0.7</v>
      </c>
    </row>
    <row r="34" spans="2:19" ht="18.75" x14ac:dyDescent="0.3">
      <c r="B34" s="27">
        <v>6</v>
      </c>
      <c r="C34" s="28">
        <v>0.75</v>
      </c>
      <c r="D34" s="29">
        <f t="shared" si="12"/>
        <v>22.031495256067473</v>
      </c>
      <c r="E34" s="29">
        <f t="shared" si="13"/>
        <v>7.4951146861141531</v>
      </c>
      <c r="F34" s="29">
        <f t="shared" si="14"/>
        <v>2.9980458744456615</v>
      </c>
      <c r="G34" s="29">
        <f t="shared" si="15"/>
        <v>3.9973944992608814</v>
      </c>
      <c r="H34" s="29">
        <f t="shared" si="16"/>
        <v>5.3298593323478416</v>
      </c>
      <c r="I34" s="29">
        <f t="shared" si="17"/>
        <v>4.9967431240761027</v>
      </c>
      <c r="J34" s="29">
        <f t="shared" si="18"/>
        <v>6.6623241654348027</v>
      </c>
      <c r="K34" s="29">
        <f t="shared" si="19"/>
        <v>7.9947889985217628</v>
      </c>
      <c r="L34" s="29">
        <f t="shared" si="20"/>
        <v>10.659718664695683</v>
      </c>
      <c r="M34" s="29">
        <f t="shared" si="21"/>
        <v>11.992183497782646</v>
      </c>
      <c r="N34" s="29">
        <f t="shared" si="22"/>
        <v>14.990229372228306</v>
      </c>
      <c r="O34" s="30">
        <f t="shared" si="23"/>
        <v>17.988275246673968</v>
      </c>
      <c r="Q34" s="3" t="s">
        <v>16</v>
      </c>
    </row>
    <row r="35" spans="2:19" ht="18.75" x14ac:dyDescent="0.3">
      <c r="B35" s="37">
        <v>8</v>
      </c>
      <c r="C35" s="38">
        <v>0.75</v>
      </c>
      <c r="D35" s="39">
        <f t="shared" si="12"/>
        <v>41.812076297664504</v>
      </c>
      <c r="E35" s="39">
        <f t="shared" si="13"/>
        <v>18.965957808620615</v>
      </c>
      <c r="F35" s="39">
        <f t="shared" si="14"/>
        <v>7.5863831234482459</v>
      </c>
      <c r="G35" s="39">
        <f t="shared" si="15"/>
        <v>10.115177497930995</v>
      </c>
      <c r="H35" s="39">
        <f t="shared" si="16"/>
        <v>13.486903330574659</v>
      </c>
      <c r="I35" s="39">
        <f t="shared" si="17"/>
        <v>12.643971872413745</v>
      </c>
      <c r="J35" s="39">
        <f t="shared" si="18"/>
        <v>16.858629163218328</v>
      </c>
      <c r="K35" s="39">
        <f t="shared" si="19"/>
        <v>20.23035499586199</v>
      </c>
      <c r="L35" s="39">
        <f t="shared" si="20"/>
        <v>26.973806661149318</v>
      </c>
      <c r="M35" s="39">
        <f t="shared" si="21"/>
        <v>30.345532493792984</v>
      </c>
      <c r="N35" s="39">
        <f t="shared" si="22"/>
        <v>37.931915617241231</v>
      </c>
      <c r="O35" s="40">
        <f t="shared" si="23"/>
        <v>45.518298740689481</v>
      </c>
      <c r="Q35" s="3"/>
    </row>
    <row r="36" spans="2:19" ht="18.75" x14ac:dyDescent="0.3">
      <c r="B36" s="27">
        <v>8</v>
      </c>
      <c r="C36" s="28">
        <v>1</v>
      </c>
      <c r="D36" s="29">
        <f t="shared" si="12"/>
        <v>39.167102677453286</v>
      </c>
      <c r="E36" s="29">
        <f t="shared" si="13"/>
        <v>17.766197774492809</v>
      </c>
      <c r="F36" s="29">
        <f t="shared" si="14"/>
        <v>7.1064791097971227</v>
      </c>
      <c r="G36" s="29">
        <f t="shared" si="15"/>
        <v>9.4753054797294975</v>
      </c>
      <c r="H36" s="29">
        <f t="shared" si="16"/>
        <v>12.633740639639331</v>
      </c>
      <c r="I36" s="29">
        <f t="shared" si="17"/>
        <v>11.844131849661874</v>
      </c>
      <c r="J36" s="29">
        <f t="shared" si="18"/>
        <v>15.792175799549165</v>
      </c>
      <c r="K36" s="29">
        <f t="shared" si="19"/>
        <v>18.950610959458995</v>
      </c>
      <c r="L36" s="29">
        <f t="shared" si="20"/>
        <v>25.267481279278662</v>
      </c>
      <c r="M36" s="29">
        <f t="shared" si="21"/>
        <v>28.425916439188491</v>
      </c>
      <c r="N36" s="29">
        <f t="shared" si="22"/>
        <v>35.532395548985619</v>
      </c>
      <c r="O36" s="30">
        <f t="shared" si="23"/>
        <v>42.63887465878274</v>
      </c>
    </row>
    <row r="37" spans="2:19" ht="18.75" x14ac:dyDescent="0.3">
      <c r="B37" s="37">
        <v>10</v>
      </c>
      <c r="C37" s="38">
        <v>1</v>
      </c>
      <c r="D37" s="39">
        <f t="shared" si="12"/>
        <v>64.494013181719424</v>
      </c>
      <c r="E37" s="39">
        <f t="shared" si="13"/>
        <v>36.568105474034908</v>
      </c>
      <c r="F37" s="39">
        <f t="shared" si="14"/>
        <v>14.627242189613963</v>
      </c>
      <c r="G37" s="39">
        <f t="shared" si="15"/>
        <v>19.502989586151951</v>
      </c>
      <c r="H37" s="39">
        <f t="shared" si="16"/>
        <v>26.003986114869264</v>
      </c>
      <c r="I37" s="39">
        <f t="shared" si="17"/>
        <v>24.378736982689936</v>
      </c>
      <c r="J37" s="39">
        <f t="shared" si="18"/>
        <v>32.504982643586594</v>
      </c>
      <c r="K37" s="39">
        <f t="shared" si="19"/>
        <v>39.005979172303903</v>
      </c>
      <c r="L37" s="39">
        <f t="shared" si="20"/>
        <v>52.007972229738527</v>
      </c>
      <c r="M37" s="39">
        <f t="shared" si="21"/>
        <v>58.50896875845585</v>
      </c>
      <c r="N37" s="39">
        <f t="shared" si="22"/>
        <v>73.136210948069817</v>
      </c>
      <c r="O37" s="40">
        <f t="shared" si="23"/>
        <v>87.763453137683797</v>
      </c>
      <c r="Q37" s="3" t="s">
        <v>18</v>
      </c>
    </row>
    <row r="38" spans="2:19" ht="18.75" x14ac:dyDescent="0.3">
      <c r="B38" s="27">
        <v>10</v>
      </c>
      <c r="C38" s="28">
        <v>1.25</v>
      </c>
      <c r="D38" s="29">
        <f t="shared" si="12"/>
        <v>61.198597933520766</v>
      </c>
      <c r="E38" s="29">
        <f t="shared" si="13"/>
        <v>34.699605028306273</v>
      </c>
      <c r="F38" s="29">
        <f t="shared" si="14"/>
        <v>13.879842011322507</v>
      </c>
      <c r="G38" s="29">
        <f t="shared" si="15"/>
        <v>18.506456015096674</v>
      </c>
      <c r="H38" s="29">
        <f t="shared" si="16"/>
        <v>24.675274686795568</v>
      </c>
      <c r="I38" s="29">
        <f t="shared" si="17"/>
        <v>23.13307001887085</v>
      </c>
      <c r="J38" s="29">
        <f t="shared" si="18"/>
        <v>30.844093358494465</v>
      </c>
      <c r="K38" s="29">
        <f t="shared" si="19"/>
        <v>37.012912030193348</v>
      </c>
      <c r="L38" s="29">
        <f t="shared" si="20"/>
        <v>49.350549373591136</v>
      </c>
      <c r="M38" s="29">
        <f t="shared" si="21"/>
        <v>55.51936804529003</v>
      </c>
      <c r="N38" s="29">
        <f t="shared" si="22"/>
        <v>69.399210056612546</v>
      </c>
      <c r="O38" s="30">
        <f t="shared" si="23"/>
        <v>83.279052067935041</v>
      </c>
      <c r="Q38" s="4" t="s">
        <v>17</v>
      </c>
    </row>
    <row r="39" spans="2:19" ht="18.75" x14ac:dyDescent="0.3">
      <c r="B39" s="37">
        <v>12</v>
      </c>
      <c r="C39" s="38">
        <v>1.25</v>
      </c>
      <c r="D39" s="39">
        <f t="shared" si="12"/>
        <v>92.071837900455961</v>
      </c>
      <c r="E39" s="41">
        <f t="shared" si="13"/>
        <v>62.645678507470237</v>
      </c>
      <c r="F39" s="41">
        <f t="shared" si="14"/>
        <v>25.05827140298809</v>
      </c>
      <c r="G39" s="41">
        <f t="shared" si="15"/>
        <v>33.411028537317456</v>
      </c>
      <c r="H39" s="41">
        <f t="shared" si="16"/>
        <v>44.548038049756599</v>
      </c>
      <c r="I39" s="41">
        <f t="shared" si="17"/>
        <v>41.763785671646822</v>
      </c>
      <c r="J39" s="41">
        <f t="shared" si="18"/>
        <v>55.685047562195763</v>
      </c>
      <c r="K39" s="41">
        <f t="shared" si="19"/>
        <v>66.822057074634913</v>
      </c>
      <c r="L39" s="41">
        <f t="shared" si="20"/>
        <v>89.096076099513198</v>
      </c>
      <c r="M39" s="41">
        <f t="shared" si="21"/>
        <v>100.23308561195236</v>
      </c>
      <c r="N39" s="41">
        <f t="shared" si="22"/>
        <v>125.29135701494047</v>
      </c>
      <c r="O39" s="42">
        <f t="shared" si="23"/>
        <v>150.34962841792856</v>
      </c>
    </row>
    <row r="40" spans="2:19" ht="18.75" x14ac:dyDescent="0.3">
      <c r="B40" s="27">
        <v>12</v>
      </c>
      <c r="C40" s="28">
        <v>1.5</v>
      </c>
      <c r="D40" s="29">
        <f t="shared" si="12"/>
        <v>88.12598102426989</v>
      </c>
      <c r="E40" s="31">
        <f t="shared" si="13"/>
        <v>59.960917488913225</v>
      </c>
      <c r="F40" s="31">
        <f t="shared" si="14"/>
        <v>23.984366995565292</v>
      </c>
      <c r="G40" s="31">
        <f t="shared" si="15"/>
        <v>31.979155994087051</v>
      </c>
      <c r="H40" s="31">
        <f t="shared" si="16"/>
        <v>42.638874658782733</v>
      </c>
      <c r="I40" s="31">
        <f t="shared" si="17"/>
        <v>39.973944992608821</v>
      </c>
      <c r="J40" s="31">
        <f t="shared" si="18"/>
        <v>53.298593323478421</v>
      </c>
      <c r="K40" s="31">
        <f t="shared" si="19"/>
        <v>63.958311988174103</v>
      </c>
      <c r="L40" s="31">
        <f t="shared" si="20"/>
        <v>85.277749317565466</v>
      </c>
      <c r="M40" s="31">
        <f t="shared" si="21"/>
        <v>95.937467982261168</v>
      </c>
      <c r="N40" s="31">
        <f t="shared" si="22"/>
        <v>119.92183497782645</v>
      </c>
      <c r="O40" s="32">
        <f t="shared" si="23"/>
        <v>143.90620197339175</v>
      </c>
    </row>
    <row r="41" spans="2:19" ht="18.75" x14ac:dyDescent="0.3">
      <c r="B41" s="37">
        <v>14</v>
      </c>
      <c r="C41" s="38">
        <v>1.5</v>
      </c>
      <c r="D41" s="39">
        <f t="shared" si="12"/>
        <v>124.54555045387417</v>
      </c>
      <c r="E41" s="41">
        <f t="shared" si="13"/>
        <v>98.864257950285307</v>
      </c>
      <c r="F41" s="41">
        <f t="shared" si="14"/>
        <v>39.545703180114117</v>
      </c>
      <c r="G41" s="41">
        <f t="shared" si="15"/>
        <v>52.727604240152161</v>
      </c>
      <c r="H41" s="41">
        <f t="shared" si="16"/>
        <v>70.303472320202886</v>
      </c>
      <c r="I41" s="41">
        <f t="shared" si="17"/>
        <v>65.909505300190219</v>
      </c>
      <c r="J41" s="41">
        <f t="shared" si="18"/>
        <v>87.879340400253611</v>
      </c>
      <c r="K41" s="41">
        <f t="shared" si="19"/>
        <v>105.45520848030432</v>
      </c>
      <c r="L41" s="41">
        <f t="shared" si="20"/>
        <v>140.60694464040577</v>
      </c>
      <c r="M41" s="41">
        <f t="shared" si="21"/>
        <v>158.18281272045647</v>
      </c>
      <c r="N41" s="41">
        <f t="shared" si="22"/>
        <v>197.72851590057061</v>
      </c>
      <c r="O41" s="42">
        <f t="shared" si="23"/>
        <v>237.27421908068476</v>
      </c>
    </row>
    <row r="42" spans="2:19" ht="18.75" x14ac:dyDescent="0.3">
      <c r="B42" s="27">
        <v>16</v>
      </c>
      <c r="C42" s="28">
        <v>1.5</v>
      </c>
      <c r="D42" s="29">
        <f t="shared" si="12"/>
        <v>167.24830519065802</v>
      </c>
      <c r="E42" s="31">
        <f t="shared" si="13"/>
        <v>151.72766246896492</v>
      </c>
      <c r="F42" s="31">
        <f t="shared" si="14"/>
        <v>60.691064987585968</v>
      </c>
      <c r="G42" s="31">
        <f t="shared" si="15"/>
        <v>80.921419983447961</v>
      </c>
      <c r="H42" s="31">
        <f t="shared" si="16"/>
        <v>107.89522664459727</v>
      </c>
      <c r="I42" s="31">
        <f t="shared" si="17"/>
        <v>101.15177497930996</v>
      </c>
      <c r="J42" s="31">
        <f t="shared" si="18"/>
        <v>134.86903330574663</v>
      </c>
      <c r="K42" s="31">
        <f t="shared" si="19"/>
        <v>161.84283996689592</v>
      </c>
      <c r="L42" s="31">
        <f t="shared" si="20"/>
        <v>215.79045328919455</v>
      </c>
      <c r="M42" s="31">
        <f t="shared" si="21"/>
        <v>242.76425995034387</v>
      </c>
      <c r="N42" s="31">
        <f t="shared" si="22"/>
        <v>303.45532493792984</v>
      </c>
      <c r="O42" s="32">
        <f t="shared" si="23"/>
        <v>364.14638992551585</v>
      </c>
    </row>
    <row r="43" spans="2:19" ht="18.75" x14ac:dyDescent="0.3">
      <c r="B43" s="37">
        <v>18</v>
      </c>
      <c r="C43" s="38">
        <v>1.5</v>
      </c>
      <c r="D43" s="39">
        <f t="shared" si="12"/>
        <v>216.23424523462148</v>
      </c>
      <c r="E43" s="41">
        <f t="shared" si="13"/>
        <v>220.68867068645466</v>
      </c>
      <c r="F43" s="41">
        <f t="shared" si="14"/>
        <v>88.275468274581854</v>
      </c>
      <c r="G43" s="41">
        <f t="shared" si="15"/>
        <v>117.70062436610914</v>
      </c>
      <c r="H43" s="41">
        <f t="shared" si="16"/>
        <v>156.93416582147884</v>
      </c>
      <c r="I43" s="41">
        <f t="shared" si="17"/>
        <v>147.12578045763644</v>
      </c>
      <c r="J43" s="41">
        <f t="shared" si="18"/>
        <v>196.16770727684857</v>
      </c>
      <c r="K43" s="41">
        <f t="shared" si="19"/>
        <v>235.40124873221828</v>
      </c>
      <c r="L43" s="41">
        <f t="shared" si="20"/>
        <v>313.86833164295768</v>
      </c>
      <c r="M43" s="41">
        <f t="shared" si="21"/>
        <v>353.10187309832742</v>
      </c>
      <c r="N43" s="41">
        <f t="shared" si="22"/>
        <v>441.37734137290931</v>
      </c>
      <c r="O43" s="42">
        <f t="shared" si="23"/>
        <v>529.65280964749115</v>
      </c>
    </row>
    <row r="44" spans="2:19" ht="18.75" x14ac:dyDescent="0.3">
      <c r="B44" s="27">
        <v>20</v>
      </c>
      <c r="C44" s="28">
        <v>1.5</v>
      </c>
      <c r="D44" s="29">
        <f t="shared" si="12"/>
        <v>271.50337058576451</v>
      </c>
      <c r="E44" s="31">
        <f t="shared" si="13"/>
        <v>307.88482224425695</v>
      </c>
      <c r="F44" s="31">
        <f t="shared" si="14"/>
        <v>123.15392889770277</v>
      </c>
      <c r="G44" s="31">
        <f t="shared" si="15"/>
        <v>164.20523853027035</v>
      </c>
      <c r="H44" s="31">
        <f t="shared" si="16"/>
        <v>218.94031804036047</v>
      </c>
      <c r="I44" s="31">
        <f t="shared" si="17"/>
        <v>205.25654816283799</v>
      </c>
      <c r="J44" s="31">
        <f t="shared" si="18"/>
        <v>273.67539755045061</v>
      </c>
      <c r="K44" s="31">
        <f t="shared" si="19"/>
        <v>328.4104770605407</v>
      </c>
      <c r="L44" s="31">
        <f t="shared" si="20"/>
        <v>437.88063608072093</v>
      </c>
      <c r="M44" s="31">
        <f t="shared" si="21"/>
        <v>492.61571559081108</v>
      </c>
      <c r="N44" s="31">
        <f t="shared" si="22"/>
        <v>615.7696444885139</v>
      </c>
      <c r="O44" s="32">
        <f t="shared" si="23"/>
        <v>738.9235733862165</v>
      </c>
    </row>
    <row r="45" spans="2:19" ht="18.75" x14ac:dyDescent="0.3">
      <c r="B45" s="37">
        <v>22</v>
      </c>
      <c r="C45" s="38">
        <v>1.5</v>
      </c>
      <c r="D45" s="39">
        <f t="shared" si="12"/>
        <v>333.05568124408711</v>
      </c>
      <c r="E45" s="41">
        <f t="shared" si="13"/>
        <v>415.45365678387424</v>
      </c>
      <c r="F45" s="41">
        <f t="shared" si="14"/>
        <v>166.18146271354968</v>
      </c>
      <c r="G45" s="41">
        <f t="shared" si="15"/>
        <v>221.57528361806624</v>
      </c>
      <c r="H45" s="41">
        <f t="shared" si="16"/>
        <v>295.43371149075494</v>
      </c>
      <c r="I45" s="41">
        <f t="shared" si="17"/>
        <v>276.96910452258282</v>
      </c>
      <c r="J45" s="41">
        <f t="shared" si="18"/>
        <v>369.29213936344377</v>
      </c>
      <c r="K45" s="41">
        <f t="shared" si="19"/>
        <v>443.15056723613247</v>
      </c>
      <c r="L45" s="41">
        <f t="shared" si="20"/>
        <v>590.86742298150989</v>
      </c>
      <c r="M45" s="41">
        <f t="shared" si="21"/>
        <v>664.72585085419871</v>
      </c>
      <c r="N45" s="41">
        <f t="shared" si="22"/>
        <v>830.90731356774847</v>
      </c>
      <c r="O45" s="42">
        <f t="shared" si="23"/>
        <v>997.08877628129801</v>
      </c>
    </row>
    <row r="46" spans="2:19" ht="18.75" x14ac:dyDescent="0.3">
      <c r="B46" s="27">
        <v>24</v>
      </c>
      <c r="C46" s="28">
        <v>2</v>
      </c>
      <c r="D46" s="29">
        <f t="shared" si="12"/>
        <v>384.41643597266051</v>
      </c>
      <c r="E46" s="31">
        <f t="shared" si="13"/>
        <v>523.11388607159643</v>
      </c>
      <c r="F46" s="31">
        <f t="shared" si="14"/>
        <v>209.24555442863851</v>
      </c>
      <c r="G46" s="31">
        <f t="shared" si="15"/>
        <v>278.99407257151802</v>
      </c>
      <c r="H46" s="31">
        <f t="shared" si="16"/>
        <v>371.99209676202406</v>
      </c>
      <c r="I46" s="31">
        <f t="shared" si="17"/>
        <v>348.74259071439758</v>
      </c>
      <c r="J46" s="31">
        <f t="shared" si="18"/>
        <v>464.99012095253011</v>
      </c>
      <c r="K46" s="31">
        <f t="shared" si="19"/>
        <v>557.98814514303604</v>
      </c>
      <c r="L46" s="31">
        <f t="shared" si="20"/>
        <v>743.98419352404812</v>
      </c>
      <c r="M46" s="31">
        <f t="shared" si="21"/>
        <v>836.98221771455405</v>
      </c>
      <c r="N46" s="31">
        <f t="shared" si="22"/>
        <v>1046.2277721431929</v>
      </c>
      <c r="O46" s="32">
        <f t="shared" si="23"/>
        <v>1255.4733265718312</v>
      </c>
    </row>
    <row r="47" spans="2:19" ht="18.75" x14ac:dyDescent="0.3">
      <c r="B47" s="37">
        <v>27</v>
      </c>
      <c r="C47" s="38">
        <v>2</v>
      </c>
      <c r="D47" s="39">
        <f t="shared" si="12"/>
        <v>495.74008483834399</v>
      </c>
      <c r="E47" s="41">
        <f t="shared" si="13"/>
        <v>758.92849587902083</v>
      </c>
      <c r="F47" s="41">
        <f t="shared" si="14"/>
        <v>303.57139835160825</v>
      </c>
      <c r="G47" s="41">
        <f t="shared" si="15"/>
        <v>404.76186446881104</v>
      </c>
      <c r="H47" s="41">
        <f t="shared" si="16"/>
        <v>539.68248595841476</v>
      </c>
      <c r="I47" s="41">
        <f t="shared" si="17"/>
        <v>505.95233058601383</v>
      </c>
      <c r="J47" s="41">
        <f t="shared" si="18"/>
        <v>674.60310744801848</v>
      </c>
      <c r="K47" s="41">
        <f t="shared" si="19"/>
        <v>809.52372893762208</v>
      </c>
      <c r="L47" s="41">
        <f t="shared" si="20"/>
        <v>1079.3649719168295</v>
      </c>
      <c r="M47" s="41">
        <f t="shared" si="21"/>
        <v>1214.285593406433</v>
      </c>
      <c r="N47" s="41">
        <f t="shared" si="22"/>
        <v>1517.8569917580417</v>
      </c>
      <c r="O47" s="42">
        <f t="shared" si="23"/>
        <v>1821.4283901096496</v>
      </c>
    </row>
    <row r="48" spans="2:19" ht="18.75" x14ac:dyDescent="0.3">
      <c r="B48" s="27">
        <v>30</v>
      </c>
      <c r="C48" s="28">
        <v>2</v>
      </c>
      <c r="D48" s="29">
        <f t="shared" si="12"/>
        <v>621.2009006451816</v>
      </c>
      <c r="E48" s="31">
        <f t="shared" si="13"/>
        <v>1056.6627319974539</v>
      </c>
      <c r="F48" s="31">
        <f t="shared" si="14"/>
        <v>422.6650927989815</v>
      </c>
      <c r="G48" s="31">
        <f t="shared" si="15"/>
        <v>563.55345706530875</v>
      </c>
      <c r="H48" s="31">
        <f t="shared" si="16"/>
        <v>751.40460942041148</v>
      </c>
      <c r="I48" s="31">
        <f t="shared" si="17"/>
        <v>704.44182133163588</v>
      </c>
      <c r="J48" s="31">
        <f t="shared" si="18"/>
        <v>939.25576177551454</v>
      </c>
      <c r="K48" s="31">
        <f t="shared" si="19"/>
        <v>1127.1069141306175</v>
      </c>
      <c r="L48" s="31">
        <f t="shared" si="20"/>
        <v>1502.809218840823</v>
      </c>
      <c r="M48" s="31">
        <f t="shared" si="21"/>
        <v>1690.660371195926</v>
      </c>
      <c r="N48" s="31">
        <f t="shared" si="22"/>
        <v>2113.3254639949078</v>
      </c>
      <c r="O48" s="32">
        <f t="shared" si="23"/>
        <v>2535.990556793889</v>
      </c>
    </row>
    <row r="49" spans="2:15" ht="18.75" x14ac:dyDescent="0.3">
      <c r="B49" s="37">
        <v>33</v>
      </c>
      <c r="C49" s="38">
        <v>2</v>
      </c>
      <c r="D49" s="39">
        <f t="shared" si="12"/>
        <v>760.79888339317324</v>
      </c>
      <c r="E49" s="41">
        <f t="shared" si="13"/>
        <v>1423.5307907169663</v>
      </c>
      <c r="F49" s="41">
        <f t="shared" si="14"/>
        <v>569.41231628678645</v>
      </c>
      <c r="G49" s="41">
        <f t="shared" si="15"/>
        <v>759.21642171571534</v>
      </c>
      <c r="H49" s="41">
        <f t="shared" si="16"/>
        <v>1012.2885622876204</v>
      </c>
      <c r="I49" s="41">
        <f t="shared" si="17"/>
        <v>949.02052714464435</v>
      </c>
      <c r="J49" s="41">
        <f t="shared" si="18"/>
        <v>1265.3607028595259</v>
      </c>
      <c r="K49" s="41">
        <f t="shared" si="19"/>
        <v>1518.4328434314307</v>
      </c>
      <c r="L49" s="41">
        <f t="shared" si="20"/>
        <v>2024.5771245752408</v>
      </c>
      <c r="M49" s="41">
        <f t="shared" si="21"/>
        <v>2277.6492651471458</v>
      </c>
      <c r="N49" s="41">
        <f t="shared" si="22"/>
        <v>2847.0615814339326</v>
      </c>
      <c r="O49" s="42">
        <f t="shared" si="23"/>
        <v>3416.4738977207194</v>
      </c>
    </row>
    <row r="50" spans="2:15" ht="19.5" thickBot="1" x14ac:dyDescent="0.35">
      <c r="B50" s="33">
        <v>36</v>
      </c>
      <c r="C50" s="34">
        <v>3</v>
      </c>
      <c r="D50" s="47">
        <f t="shared" si="12"/>
        <v>864.93698093848593</v>
      </c>
      <c r="E50" s="35">
        <f t="shared" si="13"/>
        <v>1765.5093654916373</v>
      </c>
      <c r="F50" s="35">
        <f t="shared" si="14"/>
        <v>706.20374619665483</v>
      </c>
      <c r="G50" s="35">
        <f t="shared" si="15"/>
        <v>941.60499492887311</v>
      </c>
      <c r="H50" s="35">
        <f t="shared" si="16"/>
        <v>1255.4733265718307</v>
      </c>
      <c r="I50" s="35">
        <f t="shared" si="17"/>
        <v>1177.0062436610915</v>
      </c>
      <c r="J50" s="35">
        <f t="shared" si="18"/>
        <v>1569.3416582147886</v>
      </c>
      <c r="K50" s="35">
        <f t="shared" si="19"/>
        <v>1883.2099898577462</v>
      </c>
      <c r="L50" s="35">
        <f t="shared" si="20"/>
        <v>2510.9466531436615</v>
      </c>
      <c r="M50" s="35">
        <f t="shared" si="21"/>
        <v>2824.8149847866193</v>
      </c>
      <c r="N50" s="35">
        <f t="shared" si="22"/>
        <v>3531.0187309832745</v>
      </c>
      <c r="O50" s="36">
        <f t="shared" si="23"/>
        <v>4237.2224771799292</v>
      </c>
    </row>
    <row r="53" spans="2:15" ht="21" x14ac:dyDescent="0.35">
      <c r="B53" s="11" t="s">
        <v>25</v>
      </c>
    </row>
    <row r="55" spans="2:15" ht="21" x14ac:dyDescent="0.35">
      <c r="B55" s="11" t="s">
        <v>24</v>
      </c>
      <c r="E55" s="7"/>
    </row>
    <row r="56" spans="2:15" ht="21" x14ac:dyDescent="0.35">
      <c r="B56" s="11"/>
    </row>
    <row r="58" spans="2:15" ht="21" x14ac:dyDescent="0.35">
      <c r="B58" s="11" t="s">
        <v>26</v>
      </c>
    </row>
    <row r="59" spans="2:15" ht="21" x14ac:dyDescent="0.35">
      <c r="B59" s="11"/>
    </row>
    <row r="60" spans="2:15" ht="21" x14ac:dyDescent="0.35">
      <c r="B60" s="11"/>
    </row>
    <row r="61" spans="2:15" ht="21" x14ac:dyDescent="0.35">
      <c r="B61" s="11" t="s">
        <v>31</v>
      </c>
    </row>
    <row r="62" spans="2:15" ht="21" x14ac:dyDescent="0.35">
      <c r="B62" s="11"/>
    </row>
    <row r="63" spans="2:15" ht="21" x14ac:dyDescent="0.35">
      <c r="B63" s="11"/>
      <c r="K63" s="7"/>
    </row>
    <row r="64" spans="2:15" ht="21" x14ac:dyDescent="0.35">
      <c r="B64" s="11" t="s">
        <v>27</v>
      </c>
    </row>
    <row r="65" spans="2:2" ht="21" x14ac:dyDescent="0.35">
      <c r="B65" s="11"/>
    </row>
    <row r="66" spans="2:2" ht="20.25" customHeight="1" x14ac:dyDescent="0.3">
      <c r="B66" s="7" t="s">
        <v>29</v>
      </c>
    </row>
    <row r="67" spans="2:2" ht="18.75" x14ac:dyDescent="0.3">
      <c r="B67" s="7" t="s">
        <v>30</v>
      </c>
    </row>
    <row r="68" spans="2:2" ht="18.75" x14ac:dyDescent="0.3">
      <c r="B68" s="7" t="s">
        <v>28</v>
      </c>
    </row>
  </sheetData>
  <mergeCells count="6">
    <mergeCell ref="E4:O4"/>
    <mergeCell ref="B4:C4"/>
    <mergeCell ref="H2:K2"/>
    <mergeCell ref="B28:C28"/>
    <mergeCell ref="E28:O28"/>
    <mergeCell ref="E26:O26"/>
  </mergeCells>
  <phoneticPr fontId="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Couples de serrage exact</vt:lpstr>
      <vt:lpstr>Couples de serrage approché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2026-01-30T20:03:50Z</dcterms:created>
  <dcterms:modified xsi:type="dcterms:W3CDTF">2026-01-31T15:58:21Z</dcterms:modified>
</cp:coreProperties>
</file>